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'Sheet1'!$A$1:$V$235</definedName>
  </definedNames>
  <calcPr fullCalcOnLoad="1"/>
</workbook>
</file>

<file path=xl/comments1.xml><?xml version="1.0" encoding="utf-8"?>
<comments xmlns="http://schemas.openxmlformats.org/spreadsheetml/2006/main">
  <authors>
    <author>Geoffrey R. Schellack</author>
  </authors>
  <commentList>
    <comment ref="E11" authorId="0">
      <text>
        <r>
          <rPr>
            <b/>
            <sz val="8"/>
            <rFont val="Tahoma"/>
            <family val="2"/>
          </rPr>
          <t>Keep this 0 if you don't want the money in your vault to be included as well</t>
        </r>
      </text>
    </comment>
    <comment ref="E13" authorId="0">
      <text>
        <r>
          <rPr>
            <b/>
            <sz val="8"/>
            <rFont val="Tahoma"/>
            <family val="2"/>
          </rPr>
          <t>This is the upkeep based on the items entered below.  It should match the upkeep you have in the game.  Land Efficiency calculations will still work if this is blank.</t>
        </r>
      </text>
    </comment>
    <comment ref="F18" authorId="0">
      <text>
        <r>
          <rPr>
            <b/>
            <sz val="10"/>
            <rFont val="Tahoma"/>
            <family val="2"/>
          </rPr>
          <t>Income, Defense, or Energy</t>
        </r>
      </text>
    </comment>
    <comment ref="B31" authorId="0">
      <text>
        <r>
          <rPr>
            <b/>
            <sz val="8"/>
            <rFont val="Tahoma"/>
            <family val="0"/>
          </rPr>
          <t>Anti-Aircraft Launcher</t>
        </r>
      </text>
    </comment>
    <comment ref="B43" authorId="0">
      <text>
        <r>
          <rPr>
            <b/>
            <sz val="8"/>
            <rFont val="Tahoma"/>
            <family val="0"/>
          </rPr>
          <t>Communications Center</t>
        </r>
      </text>
    </comment>
    <comment ref="B47" authorId="0">
      <text>
        <r>
          <rPr>
            <b/>
            <sz val="8"/>
            <rFont val="Tahoma"/>
            <family val="0"/>
          </rPr>
          <t>Nuclear Testing Facilities</t>
        </r>
      </text>
    </comment>
    <comment ref="B79" authorId="0">
      <text>
        <r>
          <rPr>
            <b/>
            <sz val="8"/>
            <rFont val="Tahoma"/>
            <family val="2"/>
          </rPr>
          <t>Light Machine Gunner</t>
        </r>
      </text>
    </comment>
    <comment ref="B97" authorId="0">
      <text>
        <r>
          <rPr>
            <b/>
            <sz val="8"/>
            <rFont val="Tahoma"/>
            <family val="2"/>
          </rPr>
          <t>Armored Personnel Carrier</t>
        </r>
      </text>
    </comment>
    <comment ref="B101" authorId="0">
      <text>
        <r>
          <rPr>
            <b/>
            <sz val="8"/>
            <rFont val="Tahoma"/>
            <family val="2"/>
          </rPr>
          <t>Heavy Equipment Transporter</t>
        </r>
      </text>
    </comment>
    <comment ref="B109" authorId="0">
      <text>
        <r>
          <rPr>
            <b/>
            <sz val="8"/>
            <rFont val="Tahoma"/>
            <family val="2"/>
          </rPr>
          <t>Caterpillar Track Tank</t>
        </r>
      </text>
    </comment>
    <comment ref="B111" authorId="0">
      <text>
        <r>
          <rPr>
            <b/>
            <sz val="8"/>
            <rFont val="Tahoma"/>
            <family val="2"/>
          </rPr>
          <t>Mobile Howitzer Cannon</t>
        </r>
      </text>
    </comment>
    <comment ref="B135" authorId="0">
      <text>
        <r>
          <rPr>
            <b/>
            <sz val="8"/>
            <rFont val="Tahoma"/>
            <family val="2"/>
          </rPr>
          <t>Sea Shadow Stealth Cruiser</t>
        </r>
      </text>
    </comment>
    <comment ref="B151" authorId="0">
      <text>
        <r>
          <rPr>
            <b/>
            <sz val="8"/>
            <rFont val="Tahoma"/>
            <family val="2"/>
          </rPr>
          <t>Comanche Helicopter</t>
        </r>
      </text>
    </comment>
    <comment ref="H171" authorId="0">
      <text>
        <r>
          <rPr>
            <b/>
            <sz val="8"/>
            <rFont val="Tahoma"/>
            <family val="0"/>
          </rPr>
          <t>Please note this is the combined attack of all weapons.  If you need to know the combined attack of your "offense set" of items, only turn one set on at a time.</t>
        </r>
      </text>
    </comment>
    <comment ref="N171" authorId="0">
      <text>
        <r>
          <rPr>
            <b/>
            <sz val="8"/>
            <rFont val="Tahoma"/>
            <family val="2"/>
          </rPr>
          <t>You can have 3x as many units as alliance members.  If you use "offense sets" and "defense sets" please ignore this!</t>
        </r>
      </text>
    </comment>
    <comment ref="H173" authorId="0">
      <text>
        <r>
          <rPr>
            <b/>
            <sz val="8"/>
            <rFont val="Tahoma"/>
            <family val="0"/>
          </rPr>
          <t>Please note this is the combined defense of all weapons.  If you need to know the combined attack of your "defense set" of items, only turn one set on at a time.</t>
        </r>
      </text>
    </comment>
  </commentList>
</comments>
</file>

<file path=xl/sharedStrings.xml><?xml version="1.0" encoding="utf-8"?>
<sst xmlns="http://schemas.openxmlformats.org/spreadsheetml/2006/main" count="425" uniqueCount="233">
  <si>
    <t>Time</t>
  </si>
  <si>
    <t>Minutes</t>
  </si>
  <si>
    <t>Seconds</t>
  </si>
  <si>
    <t>Output</t>
  </si>
  <si>
    <t>Time?</t>
  </si>
  <si>
    <t>PM</t>
  </si>
  <si>
    <t>Character</t>
  </si>
  <si>
    <t>Money</t>
  </si>
  <si>
    <t>Cash?</t>
  </si>
  <si>
    <t>Vaulted?</t>
  </si>
  <si>
    <t>Level?</t>
  </si>
  <si>
    <t>Upkeep?</t>
  </si>
  <si>
    <t>Land Efficiency</t>
  </si>
  <si>
    <t># Owned</t>
  </si>
  <si>
    <t>Income</t>
  </si>
  <si>
    <t>Base Cost</t>
  </si>
  <si>
    <t>Next Cost</t>
  </si>
  <si>
    <t># Turns</t>
  </si>
  <si>
    <t>ROI</t>
  </si>
  <si>
    <t>Income:</t>
  </si>
  <si>
    <t>Buy Next:</t>
  </si>
  <si>
    <t>Barracks</t>
  </si>
  <si>
    <t>Money Until</t>
  </si>
  <si>
    <t>Race?</t>
  </si>
  <si>
    <t>Rate</t>
  </si>
  <si>
    <t>AM</t>
  </si>
  <si>
    <t>Important Output</t>
  </si>
  <si>
    <t>Time Buy</t>
  </si>
  <si>
    <t>Cost:</t>
  </si>
  <si>
    <t>Smallest ROI</t>
  </si>
  <si>
    <t>Cost</t>
  </si>
  <si>
    <t>Cash / Turn</t>
  </si>
  <si>
    <t>Next Turn</t>
  </si>
  <si>
    <t>Cash</t>
  </si>
  <si>
    <t>NOW</t>
  </si>
  <si>
    <t>Attack</t>
  </si>
  <si>
    <t>Defense</t>
  </si>
  <si>
    <t>Upkeep</t>
  </si>
  <si>
    <t>Price</t>
  </si>
  <si>
    <t>Both</t>
  </si>
  <si>
    <t>Upkeep per…</t>
  </si>
  <si>
    <t>Loot</t>
  </si>
  <si>
    <t>Number</t>
  </si>
  <si>
    <t>Thanks</t>
  </si>
  <si>
    <t>Important Overall Output</t>
  </si>
  <si>
    <t>Exact</t>
  </si>
  <si>
    <t># To Buy</t>
  </si>
  <si>
    <t>Current Cash</t>
  </si>
  <si>
    <t>Image</t>
  </si>
  <si>
    <t>Next</t>
  </si>
  <si>
    <t>Max Army</t>
  </si>
  <si>
    <t>Army</t>
  </si>
  <si>
    <t>Needed</t>
  </si>
  <si>
    <t>World War</t>
  </si>
  <si>
    <t>Germany</t>
  </si>
  <si>
    <t>UK</t>
  </si>
  <si>
    <t>USA</t>
  </si>
  <si>
    <t>Russia</t>
  </si>
  <si>
    <t>China</t>
  </si>
  <si>
    <t>Supply Depot</t>
  </si>
  <si>
    <t>Bunker</t>
  </si>
  <si>
    <t>Refinery</t>
  </si>
  <si>
    <t>Guard Tower</t>
  </si>
  <si>
    <t>Weapons Factory</t>
  </si>
  <si>
    <t>Anti-Aircraft</t>
  </si>
  <si>
    <t>Power Plant</t>
  </si>
  <si>
    <t>Turret</t>
  </si>
  <si>
    <t>Oil Rig</t>
  </si>
  <si>
    <t>Military Lab</t>
  </si>
  <si>
    <t>Communications</t>
  </si>
  <si>
    <t>Airfield</t>
  </si>
  <si>
    <t>Nuclear</t>
  </si>
  <si>
    <t>I</t>
  </si>
  <si>
    <t>D</t>
  </si>
  <si>
    <t>E</t>
  </si>
  <si>
    <t>Energy +1</t>
  </si>
  <si>
    <t>Energy +2</t>
  </si>
  <si>
    <t>Defense:</t>
  </si>
  <si>
    <t>Restrict</t>
  </si>
  <si>
    <t>Show ROI for …</t>
  </si>
  <si>
    <t>Weapons Fact.</t>
  </si>
  <si>
    <t>Units</t>
  </si>
  <si>
    <t>Minigunners</t>
  </si>
  <si>
    <t>Fireteam</t>
  </si>
  <si>
    <t>Marines</t>
  </si>
  <si>
    <t>Paratroopers</t>
  </si>
  <si>
    <t>Medics</t>
  </si>
  <si>
    <t>Grenadiers</t>
  </si>
  <si>
    <t>Infantry</t>
  </si>
  <si>
    <t>Snipers</t>
  </si>
  <si>
    <t>None</t>
  </si>
  <si>
    <t>Prisoner</t>
  </si>
  <si>
    <t>Ground</t>
  </si>
  <si>
    <t>Supply Truck</t>
  </si>
  <si>
    <t>Hum-Vee</t>
  </si>
  <si>
    <t>Light Tank</t>
  </si>
  <si>
    <t>Mobile Artillery</t>
  </si>
  <si>
    <t>Stealth Tank</t>
  </si>
  <si>
    <t>Flame Tank</t>
  </si>
  <si>
    <t>Catepillar Tank</t>
  </si>
  <si>
    <t>Water</t>
  </si>
  <si>
    <t>Cruiser</t>
  </si>
  <si>
    <t>Transport</t>
  </si>
  <si>
    <t>Frigate</t>
  </si>
  <si>
    <t>Naval Tanker</t>
  </si>
  <si>
    <t>Naval Destroyer</t>
  </si>
  <si>
    <t>Submarine</t>
  </si>
  <si>
    <t>Air</t>
  </si>
  <si>
    <t>Fighter</t>
  </si>
  <si>
    <t>Cargo Chopper</t>
  </si>
  <si>
    <t>Patrol Plane</t>
  </si>
  <si>
    <t>Harrier Jet</t>
  </si>
  <si>
    <t>B-1 Lancer</t>
  </si>
  <si>
    <t>F-201 Starfighter</t>
  </si>
  <si>
    <t>Sea Shadow</t>
  </si>
  <si>
    <t>RQ-1 Predator</t>
  </si>
  <si>
    <t>SR-71 Blackbird</t>
  </si>
  <si>
    <t>B-2 Bomber</t>
  </si>
  <si>
    <t>Apache Helicopter</t>
  </si>
  <si>
    <t>SSM Launcher</t>
  </si>
  <si>
    <t>Landmine Field</t>
  </si>
  <si>
    <t>Armored P.C.</t>
  </si>
  <si>
    <t>Energy +3</t>
  </si>
  <si>
    <t>Land Minefield</t>
  </si>
  <si>
    <t>Patrol Unit</t>
  </si>
  <si>
    <t>Howitzer Cannon</t>
  </si>
  <si>
    <t>Corvette</t>
  </si>
  <si>
    <t>Nuclear Squad</t>
  </si>
  <si>
    <t>Rebel Fighter</t>
  </si>
  <si>
    <t>Biosoldier Unit</t>
  </si>
  <si>
    <t>Rocketeers</t>
  </si>
  <si>
    <t>Resource</t>
  </si>
  <si>
    <t>Commandos</t>
  </si>
  <si>
    <t>NLOS-C</t>
  </si>
  <si>
    <t>Nuclear Sub</t>
  </si>
  <si>
    <t>Aircraft Carrier</t>
  </si>
  <si>
    <t>Raptor Jet</t>
  </si>
  <si>
    <t>Light Gunner</t>
  </si>
  <si>
    <t>Heavy Trans.</t>
  </si>
  <si>
    <t>Comanche</t>
  </si>
  <si>
    <t xml:space="preserve">Upkeep / </t>
  </si>
  <si>
    <t>Fill in</t>
  </si>
  <si>
    <t>time last</t>
  </si>
  <si>
    <t>Cadet Squad</t>
  </si>
  <si>
    <t>Navy Seals</t>
  </si>
  <si>
    <t>Stealth Jet</t>
  </si>
  <si>
    <t>Important Air Output</t>
  </si>
  <si>
    <t>Important Water Output</t>
  </si>
  <si>
    <t>Important Ground Output</t>
  </si>
  <si>
    <t>Important Infantry Output</t>
  </si>
  <si>
    <t>Defense +3</t>
  </si>
  <si>
    <t>Defense +10</t>
  </si>
  <si>
    <t>Defense +32</t>
  </si>
  <si>
    <t>Defense +50</t>
  </si>
  <si>
    <t>Battleship</t>
  </si>
  <si>
    <t>Nuclear Testing</t>
  </si>
  <si>
    <t>Time 'Til</t>
  </si>
  <si>
    <t>Mammoth Tank</t>
  </si>
  <si>
    <t>Thresher Sub</t>
  </si>
  <si>
    <t>Chart</t>
  </si>
  <si>
    <t>%'s</t>
  </si>
  <si>
    <t>Buildings</t>
  </si>
  <si>
    <t>I / D / E</t>
  </si>
  <si>
    <t>Level Restrict.</t>
  </si>
  <si>
    <t>Building</t>
  </si>
  <si>
    <t>Total Income</t>
  </si>
  <si>
    <t>Total Defense</t>
  </si>
  <si>
    <t>SUM</t>
  </si>
  <si>
    <t>Smallest Cost</t>
  </si>
  <si>
    <t>Smallest Turn</t>
  </si>
  <si>
    <t>Energy:</t>
  </si>
  <si>
    <t>Level</t>
  </si>
  <si>
    <t>Free</t>
  </si>
  <si>
    <t>Missions</t>
  </si>
  <si>
    <t>Jungle</t>
  </si>
  <si>
    <t>Exp</t>
  </si>
  <si>
    <t>Energy</t>
  </si>
  <si>
    <t>Alliance</t>
  </si>
  <si>
    <t>Rewards</t>
  </si>
  <si>
    <t>Avg. Cash</t>
  </si>
  <si>
    <t>Hunt Down Retreating Forces</t>
  </si>
  <si>
    <t>Train Armed Forces</t>
  </si>
  <si>
    <t>Locate Enemy Camp</t>
  </si>
  <si>
    <t>Establish Base Defense</t>
  </si>
  <si>
    <t>Destroy Enemy Base</t>
  </si>
  <si>
    <t>Plains</t>
  </si>
  <si>
    <t>Desert</t>
  </si>
  <si>
    <t>Sea</t>
  </si>
  <si>
    <t>Destroy Enemy Transports</t>
  </si>
  <si>
    <t>Bombard Enemy Defenses</t>
  </si>
  <si>
    <t>Escort Army to Enemy Territory</t>
  </si>
  <si>
    <t>Set Up Military Camp</t>
  </si>
  <si>
    <t>Scout Out the Enemy Forces</t>
  </si>
  <si>
    <t>Intercept Enemy Shipment</t>
  </si>
  <si>
    <t>Shoot down Enemy Aircrafts</t>
  </si>
  <si>
    <t>Repel Counterattack</t>
  </si>
  <si>
    <t>Infiltrate Western Defense Boarder</t>
  </si>
  <si>
    <t>Alliance?</t>
  </si>
  <si>
    <t>Energy?</t>
  </si>
  <si>
    <t>ENERGY / LEVEL / ALLIANCE RESTRICTIONS - ON / OFF</t>
  </si>
  <si>
    <t>ON</t>
  </si>
  <si>
    <t>OFF</t>
  </si>
  <si>
    <t>Energy Efficient</t>
  </si>
  <si>
    <t>Please Add Me:</t>
  </si>
  <si>
    <t>**UPDATE INPUTS AFTER EACH CHANGE**</t>
  </si>
  <si>
    <t>Light Machine Gunner</t>
  </si>
  <si>
    <t>Required</t>
  </si>
  <si>
    <t>Fend Off Enemy Attack</t>
  </si>
  <si>
    <t>Locate Enemy Submarines</t>
  </si>
  <si>
    <t>Secure Shoreline</t>
  </si>
  <si>
    <t>Assembly Naval Fleet</t>
  </si>
  <si>
    <t>Defend Fleet from Somali Pirates</t>
  </si>
  <si>
    <t>Take Over Enemy Coastal Base</t>
  </si>
  <si>
    <t>Level Enemy City</t>
  </si>
  <si>
    <t>Air Raid</t>
  </si>
  <si>
    <t>Take out Enemy Supply Depots</t>
  </si>
  <si>
    <t>Capture Enemy Intelligence</t>
  </si>
  <si>
    <t>Locate Nuclear Silo</t>
  </si>
  <si>
    <t>Destroy Nuclear Facility</t>
  </si>
  <si>
    <t>(Yes, needed)</t>
  </si>
  <si>
    <t>LEVEL RESTRICTION - ON / OFF</t>
  </si>
  <si>
    <t>A good rule of thumb is to</t>
  </si>
  <si>
    <t>keep this under 10%</t>
  </si>
  <si>
    <t>Destroy Enemy Research Laboratory</t>
  </si>
  <si>
    <t># Units</t>
  </si>
  <si>
    <t>Thresher Submarine</t>
  </si>
  <si>
    <r>
      <rPr>
        <b/>
        <sz val="11"/>
        <color indexed="9"/>
        <rFont val="Calibri"/>
        <family val="2"/>
      </rPr>
      <t>SUM</t>
    </r>
    <r>
      <rPr>
        <sz val="11"/>
        <color indexed="9"/>
        <rFont val="Calibri"/>
        <family val="2"/>
      </rPr>
      <t xml:space="preserve"> Def</t>
    </r>
  </si>
  <si>
    <r>
      <rPr>
        <b/>
        <sz val="11"/>
        <color indexed="9"/>
        <rFont val="Calibri"/>
        <family val="2"/>
      </rPr>
      <t>SUM</t>
    </r>
    <r>
      <rPr>
        <sz val="11"/>
        <color indexed="9"/>
        <rFont val="Calibri"/>
        <family val="2"/>
      </rPr>
      <t xml:space="preserve"> Atk</t>
    </r>
  </si>
  <si>
    <r>
      <rPr>
        <b/>
        <sz val="11"/>
        <color indexed="9"/>
        <rFont val="Calibri"/>
        <family val="2"/>
      </rPr>
      <t>SUM</t>
    </r>
    <r>
      <rPr>
        <sz val="11"/>
        <color indexed="9"/>
        <rFont val="Calibri"/>
        <family val="2"/>
      </rPr>
      <t xml:space="preserve"> Upkeep</t>
    </r>
  </si>
  <si>
    <t>40??</t>
  </si>
  <si>
    <t>1PTSN</t>
  </si>
  <si>
    <t>Turrets</t>
  </si>
  <si>
    <t>Defense+15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</si>
</sst>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[$-409]h:mm\ AM/PM;@"/>
    <numFmt numFmtId="167" formatCode="&quot;$&quot;#,##0.00"/>
    <numFmt numFmtId="168" formatCode="h:mm:ss;@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Calibri"/>
      <family val="0"/>
    </font>
    <font>
      <sz val="10"/>
      <color indexed="8"/>
      <name val="Calibri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7"/>
      <name val="Calibri"/>
      <family val="2"/>
    </font>
    <font>
      <b/>
      <sz val="14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4"/>
      <color indexed="30"/>
      <name val="Calibri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indexed="63"/>
      </right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>
        <color indexed="63"/>
      </right>
      <top style="thin">
        <color indexed="63"/>
      </top>
      <bottom/>
    </border>
    <border>
      <left/>
      <right style="thin"/>
      <top style="thin"/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4" fillId="3" borderId="0" applyNumberFormat="0" applyBorder="0" applyAlignment="0" applyProtection="0"/>
    <xf numFmtId="0" fontId="25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26" borderId="1" applyNumberFormat="0" applyAlignment="0" applyProtection="0"/>
    <xf numFmtId="0" fontId="46" fillId="0" borderId="6" applyNumberFormat="0" applyFill="0" applyAlignment="0" applyProtection="0"/>
    <xf numFmtId="0" fontId="47" fillId="27" borderId="0" applyNumberFormat="0" applyBorder="0" applyAlignment="0" applyProtection="0"/>
    <xf numFmtId="0" fontId="0" fillId="28" borderId="7" applyNumberFormat="0" applyFont="0" applyAlignment="0" applyProtection="0"/>
    <xf numFmtId="0" fontId="48" fillId="29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0" xfId="15" applyFont="1" applyFill="1" applyBorder="1" applyAlignment="1" applyProtection="1">
      <alignment vertical="center"/>
      <protection/>
    </xf>
    <xf numFmtId="0" fontId="9" fillId="0" borderId="11" xfId="15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15" applyFont="1" applyFill="1" applyBorder="1" applyAlignment="1" applyProtection="1">
      <alignment horizontal="center" vertical="center"/>
      <protection/>
    </xf>
    <xf numFmtId="0" fontId="12" fillId="0" borderId="0" xfId="15" applyFont="1" applyFill="1" applyBorder="1" applyAlignment="1" applyProtection="1">
      <alignment horizontal="center" vertical="center"/>
      <protection/>
    </xf>
    <xf numFmtId="0" fontId="0" fillId="0" borderId="12" xfId="15" applyFont="1" applyFill="1" applyBorder="1" applyAlignment="1" applyProtection="1">
      <alignment/>
      <protection/>
    </xf>
    <xf numFmtId="0" fontId="13" fillId="4" borderId="13" xfId="48" applyFont="1" applyBorder="1" applyAlignment="1" applyProtection="1">
      <alignment/>
      <protection/>
    </xf>
    <xf numFmtId="0" fontId="14" fillId="4" borderId="14" xfId="48" applyBorder="1" applyAlignment="1" applyProtection="1">
      <alignment horizontal="center"/>
      <protection/>
    </xf>
    <xf numFmtId="0" fontId="14" fillId="4" borderId="15" xfId="48" applyBorder="1" applyAlignment="1" applyProtection="1">
      <alignment/>
      <protection/>
    </xf>
    <xf numFmtId="10" fontId="6" fillId="0" borderId="0" xfId="0" applyNumberFormat="1" applyFont="1" applyBorder="1" applyAlignment="1">
      <alignment/>
    </xf>
    <xf numFmtId="0" fontId="1" fillId="2" borderId="16" xfId="15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" fontId="0" fillId="0" borderId="10" xfId="0" applyNumberForma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1" fillId="4" borderId="18" xfId="17" applyBorder="1" applyAlignment="1" applyProtection="1">
      <alignment horizontal="left" vertical="center"/>
      <protection/>
    </xf>
    <xf numFmtId="0" fontId="1" fillId="2" borderId="19" xfId="15" applyBorder="1" applyAlignment="1" applyProtection="1">
      <alignment/>
      <protection/>
    </xf>
    <xf numFmtId="0" fontId="1" fillId="2" borderId="20" xfId="15" applyBorder="1" applyAlignment="1" applyProtection="1">
      <alignment/>
      <protection/>
    </xf>
    <xf numFmtId="0" fontId="16" fillId="0" borderId="18" xfId="0" applyFont="1" applyBorder="1" applyAlignment="1" applyProtection="1">
      <alignment horizontal="center"/>
      <protection/>
    </xf>
    <xf numFmtId="166" fontId="0" fillId="0" borderId="21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17" fillId="26" borderId="23" xfId="54" applyBorder="1" applyAlignment="1" applyProtection="1">
      <alignment horizontal="center"/>
      <protection locked="0"/>
    </xf>
    <xf numFmtId="0" fontId="17" fillId="26" borderId="24" xfId="54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/>
    </xf>
    <xf numFmtId="0" fontId="1" fillId="4" borderId="18" xfId="17" applyBorder="1" applyAlignment="1" applyProtection="1">
      <alignment horizontal="center" vertical="center"/>
      <protection/>
    </xf>
    <xf numFmtId="166" fontId="0" fillId="0" borderId="21" xfId="0" applyNumberFormat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0" fillId="0" borderId="21" xfId="0" applyBorder="1" applyAlignment="1" applyProtection="1">
      <alignment/>
      <protection/>
    </xf>
    <xf numFmtId="0" fontId="1" fillId="4" borderId="22" xfId="17" applyBorder="1" applyAlignment="1" applyProtection="1">
      <alignment horizontal="center" vertical="center"/>
      <protection/>
    </xf>
    <xf numFmtId="0" fontId="0" fillId="2" borderId="26" xfId="15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9" fillId="0" borderId="22" xfId="0" applyFont="1" applyBorder="1" applyAlignment="1" applyProtection="1">
      <alignment/>
      <protection/>
    </xf>
    <xf numFmtId="0" fontId="17" fillId="26" borderId="27" xfId="54" applyBorder="1" applyAlignment="1" applyProtection="1">
      <alignment horizontal="center"/>
      <protection locked="0"/>
    </xf>
    <xf numFmtId="0" fontId="0" fillId="2" borderId="28" xfId="15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0" fontId="17" fillId="26" borderId="30" xfId="54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 vertical="top"/>
      <protection/>
    </xf>
    <xf numFmtId="0" fontId="17" fillId="26" borderId="30" xfId="54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/>
    </xf>
    <xf numFmtId="0" fontId="17" fillId="26" borderId="1" xfId="54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/>
      <protection/>
    </xf>
    <xf numFmtId="0" fontId="1" fillId="4" borderId="22" xfId="17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1" fillId="4" borderId="18" xfId="17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64" fontId="7" fillId="0" borderId="0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 applyProtection="1">
      <alignment/>
      <protection/>
    </xf>
    <xf numFmtId="0" fontId="17" fillId="26" borderId="22" xfId="54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18" fillId="0" borderId="32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/>
    </xf>
    <xf numFmtId="0" fontId="18" fillId="0" borderId="2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2" fontId="5" fillId="0" borderId="0" xfId="0" applyNumberFormat="1" applyFont="1" applyBorder="1" applyAlignment="1">
      <alignment horizontal="left"/>
    </xf>
    <xf numFmtId="0" fontId="18" fillId="0" borderId="11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167" fontId="1" fillId="8" borderId="18" xfId="21" applyNumberFormat="1" applyBorder="1" applyAlignment="1" applyProtection="1">
      <alignment horizontal="center" vertical="center"/>
      <protection/>
    </xf>
    <xf numFmtId="0" fontId="1" fillId="5" borderId="18" xfId="24" applyBorder="1" applyAlignment="1" applyProtection="1">
      <alignment horizontal="center" vertical="center"/>
      <protection/>
    </xf>
    <xf numFmtId="0" fontId="1" fillId="5" borderId="29" xfId="24" applyBorder="1" applyAlignment="1" applyProtection="1">
      <alignment horizontal="center" vertical="center"/>
      <protection/>
    </xf>
    <xf numFmtId="0" fontId="1" fillId="5" borderId="25" xfId="24" applyBorder="1" applyAlignment="1" applyProtection="1">
      <alignment horizontal="center" vertical="center"/>
      <protection/>
    </xf>
    <xf numFmtId="167" fontId="1" fillId="8" borderId="29" xfId="21" applyNumberForma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23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11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11" xfId="2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64" fontId="6" fillId="0" borderId="0" xfId="0" applyNumberFormat="1" applyFont="1" applyAlignment="1">
      <alignment horizontal="center"/>
    </xf>
    <xf numFmtId="0" fontId="13" fillId="4" borderId="19" xfId="48" applyFont="1" applyBorder="1" applyAlignment="1" applyProtection="1">
      <alignment/>
      <protection/>
    </xf>
    <xf numFmtId="0" fontId="13" fillId="4" borderId="32" xfId="48" applyFont="1" applyBorder="1" applyAlignment="1" applyProtection="1">
      <alignment/>
      <protection/>
    </xf>
    <xf numFmtId="0" fontId="13" fillId="4" borderId="20" xfId="48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8" fillId="0" borderId="32" xfId="0" applyNumberFormat="1" applyFont="1" applyBorder="1" applyAlignment="1" applyProtection="1">
      <alignment horizontal="center" vertical="center"/>
      <protection/>
    </xf>
    <xf numFmtId="166" fontId="0" fillId="0" borderId="13" xfId="0" applyNumberForma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26" fillId="0" borderId="12" xfId="0" applyFont="1" applyBorder="1" applyAlignment="1" applyProtection="1">
      <alignment horizontal="center"/>
      <protection/>
    </xf>
    <xf numFmtId="0" fontId="27" fillId="0" borderId="15" xfId="53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7" fillId="0" borderId="14" xfId="53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" fillId="8" borderId="21" xfId="21" applyBorder="1" applyAlignment="1" applyProtection="1">
      <alignment horizontal="center" vertical="center"/>
      <protection/>
    </xf>
    <xf numFmtId="0" fontId="1" fillId="8" borderId="13" xfId="21" applyBorder="1" applyAlignment="1" applyProtection="1">
      <alignment horizontal="center" vertical="center"/>
      <protection/>
    </xf>
    <xf numFmtId="0" fontId="1" fillId="8" borderId="0" xfId="21" applyBorder="1" applyAlignment="1" applyProtection="1">
      <alignment horizontal="center" vertical="center"/>
      <protection/>
    </xf>
    <xf numFmtId="0" fontId="1" fillId="8" borderId="14" xfId="21" applyBorder="1" applyAlignment="1" applyProtection="1">
      <alignment horizontal="center" vertical="center"/>
      <protection/>
    </xf>
    <xf numFmtId="164" fontId="1" fillId="8" borderId="18" xfId="21" applyNumberFormat="1" applyBorder="1" applyAlignment="1" applyProtection="1">
      <alignment horizontal="center" vertical="center"/>
      <protection/>
    </xf>
    <xf numFmtId="164" fontId="1" fillId="8" borderId="25" xfId="21" applyNumberFormat="1" applyBorder="1" applyAlignment="1" applyProtection="1">
      <alignment horizontal="center" vertical="center"/>
      <protection/>
    </xf>
    <xf numFmtId="164" fontId="1" fillId="8" borderId="0" xfId="21" applyNumberFormat="1" applyBorder="1" applyAlignment="1" applyProtection="1">
      <alignment horizontal="center" vertical="center"/>
      <protection/>
    </xf>
    <xf numFmtId="164" fontId="1" fillId="8" borderId="14" xfId="21" applyNumberFormat="1" applyBorder="1" applyAlignment="1" applyProtection="1">
      <alignment horizontal="center" vertical="center"/>
      <protection/>
    </xf>
    <xf numFmtId="0" fontId="1" fillId="8" borderId="0" xfId="21" applyNumberFormat="1" applyBorder="1" applyAlignment="1" applyProtection="1">
      <alignment horizontal="center" vertical="center"/>
      <protection/>
    </xf>
    <xf numFmtId="0" fontId="1" fillId="8" borderId="14" xfId="21" applyNumberFormat="1" applyBorder="1" applyAlignment="1" applyProtection="1">
      <alignment horizontal="center" vertical="center"/>
      <protection/>
    </xf>
    <xf numFmtId="0" fontId="1" fillId="8" borderId="12" xfId="21" applyBorder="1" applyAlignment="1" applyProtection="1">
      <alignment horizontal="center" vertical="center"/>
      <protection/>
    </xf>
    <xf numFmtId="0" fontId="1" fillId="8" borderId="15" xfId="21" applyBorder="1" applyAlignment="1" applyProtection="1">
      <alignment horizontal="center" vertical="center"/>
      <protection/>
    </xf>
    <xf numFmtId="2" fontId="1" fillId="8" borderId="18" xfId="21" applyNumberFormat="1" applyBorder="1" applyAlignment="1" applyProtection="1">
      <alignment horizontal="center" vertical="center"/>
      <protection/>
    </xf>
    <xf numFmtId="2" fontId="1" fillId="8" borderId="25" xfId="21" applyNumberFormat="1" applyBorder="1" applyAlignment="1" applyProtection="1">
      <alignment horizontal="center" vertical="center"/>
      <protection/>
    </xf>
    <xf numFmtId="164" fontId="1" fillId="8" borderId="29" xfId="21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14" xfId="0" applyNumberFormat="1" applyBorder="1" applyAlignment="1" applyProtection="1">
      <alignment horizontal="center"/>
      <protection/>
    </xf>
    <xf numFmtId="0" fontId="1" fillId="8" borderId="10" xfId="21" applyBorder="1" applyAlignment="1" applyProtection="1">
      <alignment horizontal="center" vertical="center"/>
      <protection/>
    </xf>
    <xf numFmtId="0" fontId="1" fillId="8" borderId="11" xfId="21" applyBorder="1" applyAlignment="1" applyProtection="1">
      <alignment horizontal="center" vertical="center"/>
      <protection/>
    </xf>
    <xf numFmtId="164" fontId="1" fillId="8" borderId="11" xfId="21" applyNumberFormat="1" applyBorder="1" applyAlignment="1" applyProtection="1">
      <alignment horizontal="center" vertical="center"/>
      <protection/>
    </xf>
    <xf numFmtId="0" fontId="1" fillId="8" borderId="11" xfId="21" applyNumberForma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1" fillId="3" borderId="19" xfId="16" applyBorder="1" applyAlignment="1" applyProtection="1">
      <alignment horizontal="left" vertical="center"/>
      <protection/>
    </xf>
    <xf numFmtId="0" fontId="1" fillId="3" borderId="20" xfId="16" applyBorder="1" applyAlignment="1" applyProtection="1">
      <alignment horizontal="left" vertical="center"/>
      <protection/>
    </xf>
    <xf numFmtId="0" fontId="1" fillId="3" borderId="19" xfId="16" applyBorder="1" applyAlignment="1" applyProtection="1">
      <alignment horizontal="left"/>
      <protection/>
    </xf>
    <xf numFmtId="0" fontId="1" fillId="3" borderId="32" xfId="16" applyBorder="1" applyAlignment="1" applyProtection="1">
      <alignment horizontal="left"/>
      <protection/>
    </xf>
    <xf numFmtId="0" fontId="1" fillId="3" borderId="20" xfId="16" applyBorder="1" applyAlignment="1" applyProtection="1">
      <alignment horizontal="left"/>
      <protection/>
    </xf>
    <xf numFmtId="0" fontId="22" fillId="4" borderId="10" xfId="48" applyFont="1" applyBorder="1" applyAlignment="1" applyProtection="1">
      <alignment horizontal="center"/>
      <protection/>
    </xf>
    <xf numFmtId="0" fontId="22" fillId="4" borderId="17" xfId="48" applyFont="1" applyBorder="1" applyAlignment="1" applyProtection="1">
      <alignment horizontal="center"/>
      <protection/>
    </xf>
    <xf numFmtId="10" fontId="22" fillId="4" borderId="10" xfId="48" applyNumberFormat="1" applyFont="1" applyBorder="1" applyAlignment="1" applyProtection="1">
      <alignment horizontal="center" vertical="center"/>
      <protection/>
    </xf>
    <xf numFmtId="10" fontId="22" fillId="4" borderId="17" xfId="48" applyNumberFormat="1" applyFont="1" applyBorder="1" applyAlignment="1" applyProtection="1">
      <alignment horizontal="center" vertical="center"/>
      <protection/>
    </xf>
    <xf numFmtId="10" fontId="22" fillId="4" borderId="13" xfId="48" applyNumberFormat="1" applyFont="1" applyBorder="1" applyAlignment="1" applyProtection="1">
      <alignment horizontal="center" vertical="center"/>
      <protection/>
    </xf>
    <xf numFmtId="10" fontId="22" fillId="4" borderId="15" xfId="48" applyNumberFormat="1" applyFont="1" applyBorder="1" applyAlignment="1" applyProtection="1">
      <alignment horizontal="center" vertical="center"/>
      <protection/>
    </xf>
    <xf numFmtId="0" fontId="1" fillId="5" borderId="18" xfId="24" applyBorder="1" applyAlignment="1" applyProtection="1">
      <alignment horizontal="center" vertical="center"/>
      <protection/>
    </xf>
    <xf numFmtId="0" fontId="1" fillId="5" borderId="25" xfId="24" applyBorder="1" applyAlignment="1" applyProtection="1">
      <alignment horizontal="center" vertical="center"/>
      <protection/>
    </xf>
    <xf numFmtId="0" fontId="22" fillId="4" borderId="10" xfId="48" applyFont="1" applyBorder="1" applyAlignment="1">
      <alignment horizontal="center" vertical="center"/>
    </xf>
    <xf numFmtId="0" fontId="22" fillId="4" borderId="17" xfId="48" applyFont="1" applyBorder="1" applyAlignment="1">
      <alignment horizontal="center" vertical="center"/>
    </xf>
    <xf numFmtId="0" fontId="22" fillId="4" borderId="13" xfId="48" applyFont="1" applyBorder="1" applyAlignment="1">
      <alignment horizontal="center" vertical="center"/>
    </xf>
    <xf numFmtId="0" fontId="22" fillId="4" borderId="15" xfId="48" applyFont="1" applyBorder="1" applyAlignment="1">
      <alignment horizontal="center" vertical="center"/>
    </xf>
    <xf numFmtId="0" fontId="1" fillId="5" borderId="29" xfId="24" applyBorder="1" applyAlignment="1" applyProtection="1">
      <alignment horizontal="center" vertical="center"/>
      <protection/>
    </xf>
    <xf numFmtId="165" fontId="22" fillId="4" borderId="21" xfId="48" applyNumberFormat="1" applyFont="1" applyBorder="1" applyAlignment="1" applyProtection="1">
      <alignment horizontal="center" vertical="center"/>
      <protection/>
    </xf>
    <xf numFmtId="165" fontId="22" fillId="4" borderId="0" xfId="48" applyNumberFormat="1" applyFont="1" applyBorder="1" applyAlignment="1" applyProtection="1">
      <alignment horizontal="center" vertical="center"/>
      <protection/>
    </xf>
    <xf numFmtId="165" fontId="22" fillId="4" borderId="13" xfId="48" applyNumberFormat="1" applyFont="1" applyBorder="1" applyAlignment="1" applyProtection="1">
      <alignment horizontal="center" vertical="center"/>
      <protection/>
    </xf>
    <xf numFmtId="165" fontId="22" fillId="4" borderId="14" xfId="48" applyNumberFormat="1" applyFont="1" applyBorder="1" applyAlignment="1" applyProtection="1">
      <alignment horizontal="center" vertical="center"/>
      <protection/>
    </xf>
    <xf numFmtId="0" fontId="22" fillId="4" borderId="21" xfId="48" applyNumberFormat="1" applyFont="1" applyBorder="1" applyAlignment="1" applyProtection="1">
      <alignment horizontal="center" vertical="center"/>
      <protection/>
    </xf>
    <xf numFmtId="0" fontId="22" fillId="4" borderId="0" xfId="48" applyNumberFormat="1" applyFont="1" applyBorder="1" applyAlignment="1" applyProtection="1">
      <alignment horizontal="center" vertical="center"/>
      <protection/>
    </xf>
    <xf numFmtId="0" fontId="22" fillId="4" borderId="13" xfId="48" applyNumberFormat="1" applyFont="1" applyBorder="1" applyAlignment="1" applyProtection="1">
      <alignment horizontal="center" vertical="center"/>
      <protection/>
    </xf>
    <xf numFmtId="0" fontId="22" fillId="4" borderId="14" xfId="48" applyNumberFormat="1" applyFont="1" applyBorder="1" applyAlignment="1" applyProtection="1">
      <alignment horizontal="center" vertical="center"/>
      <protection/>
    </xf>
    <xf numFmtId="0" fontId="22" fillId="4" borderId="12" xfId="48" applyNumberFormat="1" applyFont="1" applyBorder="1" applyAlignment="1" applyProtection="1">
      <alignment horizontal="center" vertical="center"/>
      <protection/>
    </xf>
    <xf numFmtId="0" fontId="22" fillId="4" borderId="15" xfId="48" applyNumberFormat="1" applyFont="1" applyBorder="1" applyAlignment="1" applyProtection="1">
      <alignment horizontal="center" vertical="center"/>
      <protection/>
    </xf>
    <xf numFmtId="0" fontId="22" fillId="4" borderId="10" xfId="48" applyNumberFormat="1" applyFont="1" applyBorder="1" applyAlignment="1" applyProtection="1">
      <alignment horizontal="center" vertical="center"/>
      <protection/>
    </xf>
    <xf numFmtId="0" fontId="22" fillId="4" borderId="11" xfId="48" applyNumberFormat="1" applyFont="1" applyBorder="1" applyAlignment="1" applyProtection="1">
      <alignment horizontal="center" vertical="center"/>
      <protection/>
    </xf>
    <xf numFmtId="0" fontId="22" fillId="4" borderId="17" xfId="48" applyNumberFormat="1" applyFont="1" applyBorder="1" applyAlignment="1" applyProtection="1">
      <alignment horizontal="center" vertical="center"/>
      <protection/>
    </xf>
    <xf numFmtId="0" fontId="24" fillId="3" borderId="19" xfId="39" applyBorder="1" applyAlignment="1" applyProtection="1">
      <alignment horizontal="center"/>
      <protection/>
    </xf>
    <xf numFmtId="0" fontId="24" fillId="3" borderId="32" xfId="39" applyBorder="1" applyAlignment="1" applyProtection="1">
      <alignment horizontal="center"/>
      <protection/>
    </xf>
    <xf numFmtId="0" fontId="24" fillId="3" borderId="20" xfId="39" applyBorder="1" applyAlignment="1" applyProtection="1">
      <alignment horizontal="center"/>
      <protection/>
    </xf>
    <xf numFmtId="167" fontId="1" fillId="8" borderId="17" xfId="21" applyNumberFormat="1" applyBorder="1" applyAlignment="1" applyProtection="1">
      <alignment horizontal="center" vertical="center"/>
      <protection/>
    </xf>
    <xf numFmtId="167" fontId="1" fillId="8" borderId="15" xfId="21" applyNumberFormat="1" applyBorder="1" applyAlignment="1" applyProtection="1">
      <alignment horizontal="center" vertical="center"/>
      <protection/>
    </xf>
    <xf numFmtId="167" fontId="1" fillId="8" borderId="18" xfId="21" applyNumberFormat="1" applyBorder="1" applyAlignment="1" applyProtection="1">
      <alignment horizontal="center" vertical="center"/>
      <protection/>
    </xf>
    <xf numFmtId="167" fontId="1" fillId="8" borderId="25" xfId="21" applyNumberFormat="1" applyBorder="1" applyAlignment="1" applyProtection="1">
      <alignment horizontal="center" vertical="center"/>
      <protection/>
    </xf>
    <xf numFmtId="0" fontId="1" fillId="8" borderId="29" xfId="21" applyBorder="1" applyAlignment="1" applyProtection="1">
      <alignment horizontal="center"/>
      <protection/>
    </xf>
    <xf numFmtId="0" fontId="1" fillId="8" borderId="25" xfId="21" applyBorder="1" applyAlignment="1" applyProtection="1">
      <alignment horizontal="center"/>
      <protection/>
    </xf>
    <xf numFmtId="0" fontId="17" fillId="26" borderId="0" xfId="54" applyBorder="1" applyAlignment="1" applyProtection="1">
      <alignment horizontal="center" vertical="center"/>
      <protection locked="0"/>
    </xf>
    <xf numFmtId="0" fontId="17" fillId="26" borderId="14" xfId="54" applyBorder="1" applyAlignment="1" applyProtection="1">
      <alignment horizontal="center" vertical="center"/>
      <protection locked="0"/>
    </xf>
    <xf numFmtId="164" fontId="18" fillId="8" borderId="0" xfId="21" applyNumberFormat="1" applyFont="1" applyBorder="1" applyAlignment="1" applyProtection="1">
      <alignment horizontal="center" vertical="center"/>
      <protection/>
    </xf>
    <xf numFmtId="164" fontId="18" fillId="8" borderId="14" xfId="21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67" fontId="0" fillId="0" borderId="17" xfId="0" applyNumberFormat="1" applyBorder="1" applyAlignment="1" applyProtection="1">
      <alignment horizontal="center" vertical="center"/>
      <protection/>
    </xf>
    <xf numFmtId="167" fontId="0" fillId="0" borderId="15" xfId="0" applyNumberFormat="1" applyBorder="1" applyAlignment="1" applyProtection="1">
      <alignment horizontal="center" vertical="center"/>
      <protection/>
    </xf>
    <xf numFmtId="167" fontId="0" fillId="0" borderId="18" xfId="0" applyNumberFormat="1" applyBorder="1" applyAlignment="1" applyProtection="1">
      <alignment horizontal="center" vertical="center"/>
      <protection/>
    </xf>
    <xf numFmtId="167" fontId="0" fillId="0" borderId="25" xfId="0" applyNumberFormat="1" applyBorder="1" applyAlignment="1" applyProtection="1">
      <alignment horizontal="center" vertical="center"/>
      <protection/>
    </xf>
    <xf numFmtId="164" fontId="18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65" fontId="22" fillId="4" borderId="12" xfId="48" applyNumberFormat="1" applyFont="1" applyBorder="1" applyAlignment="1" applyProtection="1">
      <alignment horizontal="center" vertical="center"/>
      <protection/>
    </xf>
    <xf numFmtId="0" fontId="1" fillId="8" borderId="17" xfId="2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" fillId="8" borderId="18" xfId="21" applyBorder="1" applyAlignment="1" applyProtection="1">
      <alignment horizontal="center"/>
      <protection/>
    </xf>
    <xf numFmtId="0" fontId="17" fillId="26" borderId="11" xfId="54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22" fillId="4" borderId="19" xfId="48" applyFont="1" applyBorder="1" applyAlignment="1" applyProtection="1">
      <alignment horizontal="center"/>
      <protection/>
    </xf>
    <xf numFmtId="0" fontId="22" fillId="4" borderId="32" xfId="48" applyFont="1" applyBorder="1" applyAlignment="1" applyProtection="1">
      <alignment horizontal="center"/>
      <protection/>
    </xf>
    <xf numFmtId="0" fontId="22" fillId="4" borderId="20" xfId="48" applyFont="1" applyBorder="1" applyAlignment="1" applyProtection="1">
      <alignment horizontal="center"/>
      <protection/>
    </xf>
    <xf numFmtId="167" fontId="1" fillId="0" borderId="18" xfId="21" applyNumberFormat="1" applyFill="1" applyBorder="1" applyAlignment="1" applyProtection="1">
      <alignment horizontal="center" vertical="center"/>
      <protection/>
    </xf>
    <xf numFmtId="167" fontId="1" fillId="0" borderId="25" xfId="21" applyNumberFormat="1" applyFill="1" applyBorder="1" applyAlignment="1" applyProtection="1">
      <alignment horizontal="center" vertical="center"/>
      <protection/>
    </xf>
    <xf numFmtId="0" fontId="1" fillId="8" borderId="29" xfId="25" applyBorder="1" applyAlignment="1" applyProtection="1">
      <alignment horizontal="center"/>
      <protection/>
    </xf>
    <xf numFmtId="0" fontId="1" fillId="8" borderId="25" xfId="25" applyBorder="1" applyAlignment="1" applyProtection="1">
      <alignment horizontal="center"/>
      <protection/>
    </xf>
    <xf numFmtId="0" fontId="17" fillId="26" borderId="12" xfId="54" applyBorder="1" applyAlignment="1" applyProtection="1">
      <alignment horizontal="center" vertical="center"/>
      <protection locked="0"/>
    </xf>
    <xf numFmtId="0" fontId="17" fillId="26" borderId="15" xfId="54" applyBorder="1" applyAlignment="1" applyProtection="1">
      <alignment horizontal="center" vertical="center"/>
      <protection locked="0"/>
    </xf>
    <xf numFmtId="164" fontId="18" fillId="0" borderId="14" xfId="0" applyNumberFormat="1" applyFont="1" applyBorder="1" applyAlignment="1" applyProtection="1">
      <alignment horizontal="center" vertical="center"/>
      <protection/>
    </xf>
    <xf numFmtId="167" fontId="1" fillId="8" borderId="29" xfId="21" applyNumberFormat="1" applyBorder="1" applyAlignment="1" applyProtection="1">
      <alignment horizontal="center" vertical="center"/>
      <protection/>
    </xf>
    <xf numFmtId="167" fontId="0" fillId="0" borderId="29" xfId="0" applyNumberFormat="1" applyBorder="1" applyAlignment="1" applyProtection="1">
      <alignment horizontal="center" vertical="center"/>
      <protection/>
    </xf>
    <xf numFmtId="0" fontId="1" fillId="8" borderId="18" xfId="25" applyBorder="1" applyAlignment="1" applyProtection="1">
      <alignment horizontal="center"/>
      <protection/>
    </xf>
    <xf numFmtId="0" fontId="17" fillId="26" borderId="17" xfId="54" applyBorder="1" applyAlignment="1" applyProtection="1">
      <alignment horizontal="center" vertical="center"/>
      <protection locked="0"/>
    </xf>
    <xf numFmtId="0" fontId="1" fillId="5" borderId="29" xfId="18" applyBorder="1" applyAlignment="1" applyProtection="1">
      <alignment horizontal="center"/>
      <protection/>
    </xf>
    <xf numFmtId="0" fontId="1" fillId="5" borderId="25" xfId="18" applyBorder="1" applyAlignment="1" applyProtection="1">
      <alignment horizontal="center"/>
      <protection/>
    </xf>
    <xf numFmtId="0" fontId="1" fillId="0" borderId="12" xfId="21" applyFill="1" applyBorder="1" applyAlignment="1" applyProtection="1">
      <alignment horizontal="center" vertical="center"/>
      <protection/>
    </xf>
    <xf numFmtId="167" fontId="1" fillId="0" borderId="17" xfId="21" applyNumberForma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167" fontId="0" fillId="0" borderId="12" xfId="0" applyNumberFormat="1" applyBorder="1" applyAlignment="1" applyProtection="1">
      <alignment horizontal="center" vertical="center"/>
      <protection/>
    </xf>
    <xf numFmtId="167" fontId="1" fillId="8" borderId="12" xfId="21" applyNumberFormat="1" applyBorder="1" applyAlignment="1" applyProtection="1">
      <alignment horizontal="center" vertical="center"/>
      <protection/>
    </xf>
    <xf numFmtId="0" fontId="1" fillId="5" borderId="18" xfId="18" applyBorder="1" applyAlignment="1" applyProtection="1">
      <alignment horizontal="center"/>
      <protection/>
    </xf>
    <xf numFmtId="0" fontId="1" fillId="10" borderId="29" xfId="23" applyBorder="1" applyAlignment="1" applyProtection="1">
      <alignment horizontal="center"/>
      <protection/>
    </xf>
    <xf numFmtId="0" fontId="1" fillId="10" borderId="25" xfId="23" applyBorder="1" applyAlignment="1" applyProtection="1">
      <alignment horizontal="center"/>
      <protection/>
    </xf>
    <xf numFmtId="0" fontId="1" fillId="0" borderId="0" xfId="21" applyFill="1" applyBorder="1" applyAlignment="1" applyProtection="1">
      <alignment horizontal="center" vertical="center"/>
      <protection/>
    </xf>
    <xf numFmtId="0" fontId="1" fillId="10" borderId="18" xfId="23" applyBorder="1" applyAlignment="1" applyProtection="1">
      <alignment horizontal="center"/>
      <protection/>
    </xf>
    <xf numFmtId="0" fontId="28" fillId="0" borderId="37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1" fillId="10" borderId="21" xfId="23" applyBorder="1" applyAlignment="1" applyProtection="1">
      <alignment horizontal="center"/>
      <protection/>
    </xf>
    <xf numFmtId="0" fontId="1" fillId="10" borderId="13" xfId="23" applyBorder="1" applyAlignment="1" applyProtection="1">
      <alignment horizontal="center"/>
      <protection/>
    </xf>
    <xf numFmtId="0" fontId="17" fillId="26" borderId="29" xfId="54" applyBorder="1" applyAlignment="1" applyProtection="1">
      <alignment horizontal="center" vertical="center"/>
      <protection locked="0"/>
    </xf>
    <xf numFmtId="0" fontId="17" fillId="26" borderId="25" xfId="54" applyBorder="1" applyAlignment="1" applyProtection="1">
      <alignment horizontal="center" vertical="center"/>
      <protection locked="0"/>
    </xf>
    <xf numFmtId="164" fontId="1" fillId="8" borderId="21" xfId="21" applyNumberFormat="1" applyBorder="1" applyAlignment="1" applyProtection="1">
      <alignment horizontal="center" vertical="center"/>
      <protection/>
    </xf>
    <xf numFmtId="164" fontId="1" fillId="8" borderId="13" xfId="21" applyNumberFormat="1" applyBorder="1" applyAlignment="1" applyProtection="1">
      <alignment horizontal="center" vertical="center"/>
      <protection/>
    </xf>
    <xf numFmtId="0" fontId="1" fillId="8" borderId="0" xfId="21" applyFont="1" applyBorder="1" applyAlignment="1" applyProtection="1">
      <alignment horizontal="center" vertical="center"/>
      <protection/>
    </xf>
    <xf numFmtId="164" fontId="1" fillId="0" borderId="0" xfId="21" applyNumberFormat="1" applyFill="1" applyBorder="1" applyAlignment="1" applyProtection="1">
      <alignment horizontal="center" vertical="center"/>
      <protection/>
    </xf>
    <xf numFmtId="0" fontId="25" fillId="24" borderId="21" xfId="40" applyBorder="1" applyAlignment="1" applyProtection="1">
      <alignment horizontal="center" vertical="center"/>
      <protection/>
    </xf>
    <xf numFmtId="0" fontId="25" fillId="24" borderId="0" xfId="40" applyBorder="1" applyAlignment="1" applyProtection="1">
      <alignment horizontal="center" vertical="center"/>
      <protection/>
    </xf>
    <xf numFmtId="0" fontId="25" fillId="24" borderId="12" xfId="40" applyBorder="1" applyAlignment="1" applyProtection="1">
      <alignment horizontal="center" vertical="center"/>
      <protection/>
    </xf>
    <xf numFmtId="164" fontId="1" fillId="0" borderId="21" xfId="21" applyNumberFormat="1" applyFill="1" applyBorder="1" applyAlignment="1" applyProtection="1">
      <alignment horizontal="center" vertical="center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0" fontId="1" fillId="8" borderId="21" xfId="21" applyNumberFormat="1" applyBorder="1" applyAlignment="1" applyProtection="1">
      <alignment horizontal="center" vertical="center"/>
      <protection/>
    </xf>
    <xf numFmtId="0" fontId="24" fillId="24" borderId="21" xfId="39" applyFill="1" applyBorder="1" applyAlignment="1" applyProtection="1">
      <alignment horizontal="center" vertical="center"/>
      <protection/>
    </xf>
    <xf numFmtId="0" fontId="24" fillId="24" borderId="0" xfId="39" applyFill="1" applyBorder="1" applyAlignment="1" applyProtection="1">
      <alignment horizontal="center" vertical="center"/>
      <protection/>
    </xf>
    <xf numFmtId="0" fontId="24" fillId="24" borderId="12" xfId="39" applyFill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0" fontId="24" fillId="24" borderId="10" xfId="39" applyFill="1" applyBorder="1" applyAlignment="1" applyProtection="1">
      <alignment horizontal="center" vertical="center"/>
      <protection/>
    </xf>
    <xf numFmtId="0" fontId="24" fillId="24" borderId="11" xfId="39" applyFill="1" applyBorder="1" applyAlignment="1" applyProtection="1">
      <alignment horizontal="center" vertical="center"/>
      <protection/>
    </xf>
    <xf numFmtId="0" fontId="24" fillId="24" borderId="17" xfId="39" applyFill="1" applyBorder="1" applyAlignment="1" applyProtection="1">
      <alignment horizontal="center" vertical="center"/>
      <protection/>
    </xf>
    <xf numFmtId="0" fontId="18" fillId="5" borderId="29" xfId="24" applyFont="1" applyBorder="1" applyAlignment="1" applyProtection="1">
      <alignment horizontal="center" vertical="center"/>
      <protection/>
    </xf>
    <xf numFmtId="0" fontId="18" fillId="5" borderId="25" xfId="24" applyFont="1" applyBorder="1" applyAlignment="1" applyProtection="1">
      <alignment horizontal="center" vertical="center"/>
      <protection/>
    </xf>
    <xf numFmtId="168" fontId="22" fillId="4" borderId="21" xfId="48" applyNumberFormat="1" applyFont="1" applyBorder="1" applyAlignment="1" applyProtection="1">
      <alignment horizontal="center" vertical="center"/>
      <protection/>
    </xf>
    <xf numFmtId="168" fontId="22" fillId="4" borderId="12" xfId="48" applyNumberFormat="1" applyFont="1" applyBorder="1" applyAlignment="1" applyProtection="1">
      <alignment horizontal="center" vertical="center"/>
      <protection/>
    </xf>
    <xf numFmtId="168" fontId="22" fillId="4" borderId="13" xfId="48" applyNumberFormat="1" applyFont="1" applyBorder="1" applyAlignment="1" applyProtection="1">
      <alignment horizontal="center" vertical="center"/>
      <protection/>
    </xf>
    <xf numFmtId="168" fontId="22" fillId="4" borderId="15" xfId="48" applyNumberFormat="1" applyFon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6" fontId="22" fillId="4" borderId="21" xfId="48" applyNumberFormat="1" applyFont="1" applyBorder="1" applyAlignment="1" applyProtection="1">
      <alignment horizontal="center" vertical="center"/>
      <protection/>
    </xf>
    <xf numFmtId="166" fontId="22" fillId="4" borderId="12" xfId="48" applyNumberFormat="1" applyFont="1" applyBorder="1" applyAlignment="1" applyProtection="1">
      <alignment horizontal="center" vertical="center"/>
      <protection/>
    </xf>
    <xf numFmtId="0" fontId="18" fillId="5" borderId="18" xfId="24" applyFont="1" applyBorder="1" applyAlignment="1" applyProtection="1">
      <alignment horizontal="center" vertical="center"/>
      <protection/>
    </xf>
    <xf numFmtId="165" fontId="22" fillId="4" borderId="10" xfId="48" applyNumberFormat="1" applyFont="1" applyBorder="1" applyAlignment="1" applyProtection="1">
      <alignment horizontal="center" vertical="center"/>
      <protection/>
    </xf>
    <xf numFmtId="165" fontId="22" fillId="4" borderId="17" xfId="48" applyNumberFormat="1" applyFont="1" applyBorder="1" applyAlignment="1" applyProtection="1">
      <alignment horizontal="center" vertical="center"/>
      <protection/>
    </xf>
    <xf numFmtId="0" fontId="18" fillId="0" borderId="32" xfId="0" applyFont="1" applyBorder="1" applyAlignment="1" applyProtection="1">
      <alignment horizontal="center" vertical="center"/>
      <protection/>
    </xf>
    <xf numFmtId="164" fontId="1" fillId="8" borderId="10" xfId="21" applyNumberForma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0" fontId="21" fillId="0" borderId="34" xfId="0" applyFont="1" applyBorder="1" applyAlignment="1" applyProtection="1">
      <alignment vertical="center"/>
      <protection/>
    </xf>
    <xf numFmtId="0" fontId="21" fillId="0" borderId="35" xfId="0" applyFont="1" applyBorder="1" applyAlignment="1" applyProtection="1">
      <alignment vertical="center"/>
      <protection/>
    </xf>
    <xf numFmtId="0" fontId="21" fillId="0" borderId="36" xfId="0" applyFont="1" applyBorder="1" applyAlignment="1" applyProtection="1">
      <alignment vertical="center"/>
      <protection/>
    </xf>
    <xf numFmtId="0" fontId="13" fillId="4" borderId="19" xfId="48" applyFont="1" applyBorder="1" applyAlignment="1" applyProtection="1">
      <alignment horizontal="left"/>
      <protection/>
    </xf>
    <xf numFmtId="0" fontId="13" fillId="4" borderId="32" xfId="48" applyFont="1" applyBorder="1" applyAlignment="1" applyProtection="1">
      <alignment horizontal="left"/>
      <protection/>
    </xf>
    <xf numFmtId="0" fontId="22" fillId="4" borderId="39" xfId="48" applyFont="1" applyBorder="1" applyAlignment="1" applyProtection="1">
      <alignment horizontal="center"/>
      <protection/>
    </xf>
    <xf numFmtId="0" fontId="22" fillId="4" borderId="40" xfId="48" applyFont="1" applyBorder="1" applyAlignment="1" applyProtection="1">
      <alignment horizontal="center"/>
      <protection/>
    </xf>
    <xf numFmtId="0" fontId="23" fillId="26" borderId="39" xfId="54" applyFont="1" applyBorder="1" applyAlignment="1" applyProtection="1">
      <alignment horizontal="center"/>
      <protection locked="0"/>
    </xf>
    <xf numFmtId="0" fontId="23" fillId="26" borderId="40" xfId="54" applyFont="1" applyBorder="1" applyAlignment="1" applyProtection="1">
      <alignment horizontal="center"/>
      <protection locked="0"/>
    </xf>
    <xf numFmtId="0" fontId="17" fillId="26" borderId="41" xfId="54" applyBorder="1" applyAlignment="1" applyProtection="1">
      <alignment horizontal="center"/>
      <protection locked="0"/>
    </xf>
    <xf numFmtId="0" fontId="17" fillId="26" borderId="40" xfId="54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17" fillId="26" borderId="41" xfId="54" applyNumberFormat="1" applyBorder="1" applyAlignment="1" applyProtection="1">
      <alignment horizontal="center"/>
      <protection locked="0"/>
    </xf>
    <xf numFmtId="0" fontId="17" fillId="26" borderId="40" xfId="54" applyNumberFormat="1" applyBorder="1" applyAlignment="1" applyProtection="1">
      <alignment horizontal="center"/>
      <protection locked="0"/>
    </xf>
    <xf numFmtId="0" fontId="1" fillId="8" borderId="44" xfId="25" applyNumberFormat="1" applyBorder="1" applyAlignment="1" applyProtection="1">
      <alignment horizontal="center" vertical="center"/>
      <protection/>
    </xf>
    <xf numFmtId="0" fontId="1" fillId="8" borderId="45" xfId="25" applyNumberFormat="1" applyBorder="1" applyAlignment="1" applyProtection="1">
      <alignment horizontal="center" vertical="center"/>
      <protection/>
    </xf>
    <xf numFmtId="0" fontId="14" fillId="4" borderId="39" xfId="48" applyBorder="1" applyAlignment="1" applyProtection="1">
      <alignment horizontal="center"/>
      <protection/>
    </xf>
    <xf numFmtId="0" fontId="14" fillId="4" borderId="30" xfId="48" applyBorder="1" applyAlignment="1" applyProtection="1">
      <alignment horizontal="center"/>
      <protection/>
    </xf>
    <xf numFmtId="164" fontId="18" fillId="0" borderId="46" xfId="0" applyNumberFormat="1" applyFont="1" applyBorder="1" applyAlignment="1" applyProtection="1">
      <alignment horizontal="center"/>
      <protection/>
    </xf>
    <xf numFmtId="164" fontId="18" fillId="0" borderId="45" xfId="0" applyNumberFormat="1" applyFont="1" applyBorder="1" applyAlignment="1" applyProtection="1">
      <alignment horizontal="center"/>
      <protection/>
    </xf>
    <xf numFmtId="0" fontId="14" fillId="4" borderId="19" xfId="48" applyBorder="1" applyAlignment="1" applyProtection="1">
      <alignment horizontal="center"/>
      <protection/>
    </xf>
    <xf numFmtId="0" fontId="14" fillId="4" borderId="20" xfId="48" applyBorder="1" applyAlignment="1" applyProtection="1">
      <alignment horizontal="center"/>
      <protection/>
    </xf>
    <xf numFmtId="166" fontId="18" fillId="0" borderId="10" xfId="0" applyNumberFormat="1" applyFont="1" applyBorder="1" applyAlignment="1" applyProtection="1">
      <alignment horizontal="center"/>
      <protection/>
    </xf>
    <xf numFmtId="166" fontId="18" fillId="0" borderId="17" xfId="0" applyNumberFormat="1" applyFont="1" applyBorder="1" applyAlignment="1" applyProtection="1">
      <alignment horizontal="center"/>
      <protection/>
    </xf>
    <xf numFmtId="45" fontId="18" fillId="0" borderId="13" xfId="0" applyNumberFormat="1" applyFont="1" applyBorder="1" applyAlignment="1" applyProtection="1">
      <alignment horizontal="center"/>
      <protection/>
    </xf>
    <xf numFmtId="45" fontId="18" fillId="0" borderId="15" xfId="0" applyNumberFormat="1" applyFont="1" applyBorder="1" applyAlignment="1" applyProtection="1">
      <alignment horizontal="center"/>
      <protection/>
    </xf>
    <xf numFmtId="0" fontId="8" fillId="10" borderId="10" xfId="23" applyFont="1" applyBorder="1" applyAlignment="1" applyProtection="1">
      <alignment horizontal="center" vertical="center"/>
      <protection/>
    </xf>
    <xf numFmtId="0" fontId="8" fillId="10" borderId="11" xfId="23" applyFont="1" applyBorder="1" applyAlignment="1" applyProtection="1">
      <alignment horizontal="center" vertical="center"/>
      <protection/>
    </xf>
    <xf numFmtId="0" fontId="8" fillId="10" borderId="17" xfId="23" applyFont="1" applyBorder="1" applyAlignment="1" applyProtection="1">
      <alignment horizontal="center" vertical="center"/>
      <protection/>
    </xf>
    <xf numFmtId="0" fontId="8" fillId="10" borderId="13" xfId="23" applyFont="1" applyBorder="1" applyAlignment="1" applyProtection="1">
      <alignment horizontal="center" vertical="center"/>
      <protection/>
    </xf>
    <xf numFmtId="0" fontId="8" fillId="10" borderId="14" xfId="23" applyFont="1" applyBorder="1" applyAlignment="1" applyProtection="1">
      <alignment horizontal="center" vertical="center"/>
      <protection/>
    </xf>
    <xf numFmtId="0" fontId="8" fillId="10" borderId="15" xfId="23" applyFont="1" applyBorder="1" applyAlignment="1" applyProtection="1">
      <alignment horizontal="center" vertical="center"/>
      <protection/>
    </xf>
    <xf numFmtId="0" fontId="2" fillId="0" borderId="11" xfId="53" applyFill="1" applyBorder="1" applyAlignment="1" applyProtection="1">
      <alignment horizontal="left"/>
      <protection/>
    </xf>
    <xf numFmtId="0" fontId="0" fillId="0" borderId="11" xfId="15" applyFont="1" applyFill="1" applyBorder="1" applyAlignment="1" applyProtection="1">
      <alignment horizontal="left"/>
      <protection/>
    </xf>
    <xf numFmtId="0" fontId="0" fillId="0" borderId="17" xfId="15" applyFont="1" applyFill="1" applyBorder="1" applyAlignment="1" applyProtection="1">
      <alignment horizontal="left"/>
      <protection/>
    </xf>
    <xf numFmtId="0" fontId="0" fillId="2" borderId="47" xfId="15" applyFont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9" fillId="0" borderId="21" xfId="15" applyFont="1" applyFill="1" applyBorder="1" applyAlignment="1" applyProtection="1">
      <alignment horizontal="left" vertical="center"/>
      <protection/>
    </xf>
    <xf numFmtId="0" fontId="9" fillId="0" borderId="0" xfId="15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92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25"/>
          <c:y val="0.20925"/>
          <c:w val="0.42975"/>
          <c:h val="0.71775"/>
        </c:manualLayout>
      </c:layout>
      <c:pie3DChart>
        <c:varyColors val="1"/>
        <c:ser>
          <c:idx val="2"/>
          <c:order val="0"/>
          <c:tx>
            <c:v>Percentage of Income</c:v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'[1]World War'!$AE$3:$AE$9</c:f>
              <c:strCache>
                <c:ptCount val="7"/>
                <c:pt idx="0">
                  <c:v>Supply Depot</c:v>
                </c:pt>
                <c:pt idx="1">
                  <c:v>Refinery</c:v>
                </c:pt>
                <c:pt idx="2">
                  <c:v>Weapons Fact.</c:v>
                </c:pt>
                <c:pt idx="3">
                  <c:v>Power Plant</c:v>
                </c:pt>
                <c:pt idx="4">
                  <c:v>Oil Rig</c:v>
                </c:pt>
                <c:pt idx="5">
                  <c:v>Military Lab</c:v>
                </c:pt>
                <c:pt idx="6">
                  <c:v>Nuclear</c:v>
                </c:pt>
              </c:strCache>
            </c:strRef>
          </c:cat>
          <c:val>
            <c:numRef>
              <c:f>'[1]World War'!$AF$3:$AF$9</c:f>
              <c:numCache>
                <c:ptCount val="7"/>
                <c:pt idx="0">
                  <c:v>0.010172486102063944</c:v>
                </c:pt>
                <c:pt idx="1">
                  <c:v>0.04872085448883257</c:v>
                </c:pt>
                <c:pt idx="2">
                  <c:v>0.07656134276816547</c:v>
                </c:pt>
                <c:pt idx="3">
                  <c:v>0.18988640723852696</c:v>
                </c:pt>
                <c:pt idx="4">
                  <c:v>0.674596446768451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strRef>
              <c:f>'[1]World War'!$AE$3:$AE$9</c:f>
              <c:strCache>
                <c:ptCount val="7"/>
                <c:pt idx="0">
                  <c:v>Supply Depot</c:v>
                </c:pt>
                <c:pt idx="1">
                  <c:v>Refinery</c:v>
                </c:pt>
                <c:pt idx="2">
                  <c:v>Weapons Fact.</c:v>
                </c:pt>
                <c:pt idx="3">
                  <c:v>Power Plant</c:v>
                </c:pt>
                <c:pt idx="4">
                  <c:v>Oil Rig</c:v>
                </c:pt>
                <c:pt idx="5">
                  <c:v>Military Lab</c:v>
                </c:pt>
                <c:pt idx="6">
                  <c:v>Nuclear</c:v>
                </c:pt>
              </c:strCache>
            </c:strRef>
          </c:cat>
          <c:val>
            <c:numRef>
              <c:f>'[1]Kingdoms Live'!$AC$2:$AC$12</c:f>
              <c:numCache>
                <c:ptCount val="7"/>
                <c:pt idx="0">
                  <c:v>8.642170913333429E-05</c:v>
                </c:pt>
                <c:pt idx="1">
                  <c:v>0.0005041266366111167</c:v>
                </c:pt>
                <c:pt idx="2">
                  <c:v>0.0005185302548000058</c:v>
                </c:pt>
                <c:pt idx="3">
                  <c:v>0.003600904547222262</c:v>
                </c:pt>
                <c:pt idx="4">
                  <c:v>0.0043210854566667145</c:v>
                </c:pt>
                <c:pt idx="5">
                  <c:v>0.028807236377778097</c:v>
                </c:pt>
                <c:pt idx="6">
                  <c:v>0.057614472755556194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00425"/>
          <c:w val="0.19675"/>
          <c:h val="0.9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18</xdr:row>
      <xdr:rowOff>28575</xdr:rowOff>
    </xdr:from>
    <xdr:to>
      <xdr:col>3</xdr:col>
      <xdr:colOff>723900</xdr:colOff>
      <xdr:row>19</xdr:row>
      <xdr:rowOff>133350</xdr:rowOff>
    </xdr:to>
    <xdr:pic>
      <xdr:nvPicPr>
        <xdr:cNvPr id="1" name="Picture 57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476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20</xdr:row>
      <xdr:rowOff>28575</xdr:rowOff>
    </xdr:from>
    <xdr:to>
      <xdr:col>3</xdr:col>
      <xdr:colOff>723900</xdr:colOff>
      <xdr:row>21</xdr:row>
      <xdr:rowOff>133350</xdr:rowOff>
    </xdr:to>
    <xdr:pic>
      <xdr:nvPicPr>
        <xdr:cNvPr id="2" name="Picture 58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3857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22</xdr:row>
      <xdr:rowOff>28575</xdr:rowOff>
    </xdr:from>
    <xdr:to>
      <xdr:col>3</xdr:col>
      <xdr:colOff>723900</xdr:colOff>
      <xdr:row>23</xdr:row>
      <xdr:rowOff>133350</xdr:rowOff>
    </xdr:to>
    <xdr:pic>
      <xdr:nvPicPr>
        <xdr:cNvPr id="3" name="Picture 59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4238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24</xdr:row>
      <xdr:rowOff>28575</xdr:rowOff>
    </xdr:from>
    <xdr:to>
      <xdr:col>3</xdr:col>
      <xdr:colOff>723900</xdr:colOff>
      <xdr:row>25</xdr:row>
      <xdr:rowOff>133350</xdr:rowOff>
    </xdr:to>
    <xdr:pic>
      <xdr:nvPicPr>
        <xdr:cNvPr id="4" name="Picture 60" descr="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4619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26</xdr:row>
      <xdr:rowOff>28575</xdr:rowOff>
    </xdr:from>
    <xdr:to>
      <xdr:col>3</xdr:col>
      <xdr:colOff>723900</xdr:colOff>
      <xdr:row>27</xdr:row>
      <xdr:rowOff>133350</xdr:rowOff>
    </xdr:to>
    <xdr:pic>
      <xdr:nvPicPr>
        <xdr:cNvPr id="5" name="Picture 61" descr="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9325" y="5000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28</xdr:row>
      <xdr:rowOff>28575</xdr:rowOff>
    </xdr:from>
    <xdr:to>
      <xdr:col>3</xdr:col>
      <xdr:colOff>723900</xdr:colOff>
      <xdr:row>29</xdr:row>
      <xdr:rowOff>133350</xdr:rowOff>
    </xdr:to>
    <xdr:pic>
      <xdr:nvPicPr>
        <xdr:cNvPr id="6" name="Picture 62" descr="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19325" y="5381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30</xdr:row>
      <xdr:rowOff>28575</xdr:rowOff>
    </xdr:from>
    <xdr:to>
      <xdr:col>3</xdr:col>
      <xdr:colOff>723900</xdr:colOff>
      <xdr:row>31</xdr:row>
      <xdr:rowOff>133350</xdr:rowOff>
    </xdr:to>
    <xdr:pic>
      <xdr:nvPicPr>
        <xdr:cNvPr id="7" name="Picture 63" descr="7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9325" y="5762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32</xdr:row>
      <xdr:rowOff>28575</xdr:rowOff>
    </xdr:from>
    <xdr:to>
      <xdr:col>3</xdr:col>
      <xdr:colOff>723900</xdr:colOff>
      <xdr:row>33</xdr:row>
      <xdr:rowOff>133350</xdr:rowOff>
    </xdr:to>
    <xdr:pic>
      <xdr:nvPicPr>
        <xdr:cNvPr id="8" name="Picture 64" descr="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19325" y="6143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34</xdr:row>
      <xdr:rowOff>28575</xdr:rowOff>
    </xdr:from>
    <xdr:to>
      <xdr:col>3</xdr:col>
      <xdr:colOff>723900</xdr:colOff>
      <xdr:row>35</xdr:row>
      <xdr:rowOff>133350</xdr:rowOff>
    </xdr:to>
    <xdr:pic>
      <xdr:nvPicPr>
        <xdr:cNvPr id="9" name="Picture 65" descr="9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19325" y="6524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36</xdr:row>
      <xdr:rowOff>28575</xdr:rowOff>
    </xdr:from>
    <xdr:to>
      <xdr:col>3</xdr:col>
      <xdr:colOff>723900</xdr:colOff>
      <xdr:row>37</xdr:row>
      <xdr:rowOff>133350</xdr:rowOff>
    </xdr:to>
    <xdr:pic>
      <xdr:nvPicPr>
        <xdr:cNvPr id="10" name="Picture 66" descr="10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19325" y="6905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38</xdr:row>
      <xdr:rowOff>28575</xdr:rowOff>
    </xdr:from>
    <xdr:to>
      <xdr:col>3</xdr:col>
      <xdr:colOff>723900</xdr:colOff>
      <xdr:row>39</xdr:row>
      <xdr:rowOff>133350</xdr:rowOff>
    </xdr:to>
    <xdr:pic>
      <xdr:nvPicPr>
        <xdr:cNvPr id="11" name="Picture 67" descr="1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19325" y="7286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40</xdr:row>
      <xdr:rowOff>28575</xdr:rowOff>
    </xdr:from>
    <xdr:to>
      <xdr:col>3</xdr:col>
      <xdr:colOff>723900</xdr:colOff>
      <xdr:row>41</xdr:row>
      <xdr:rowOff>133350</xdr:rowOff>
    </xdr:to>
    <xdr:pic>
      <xdr:nvPicPr>
        <xdr:cNvPr id="12" name="Picture 68" descr="12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19325" y="7667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42</xdr:row>
      <xdr:rowOff>28575</xdr:rowOff>
    </xdr:from>
    <xdr:to>
      <xdr:col>3</xdr:col>
      <xdr:colOff>723900</xdr:colOff>
      <xdr:row>43</xdr:row>
      <xdr:rowOff>133350</xdr:rowOff>
    </xdr:to>
    <xdr:pic>
      <xdr:nvPicPr>
        <xdr:cNvPr id="13" name="Picture 69" descr="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19325" y="8048625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44</xdr:row>
      <xdr:rowOff>19050</xdr:rowOff>
    </xdr:from>
    <xdr:to>
      <xdr:col>3</xdr:col>
      <xdr:colOff>733425</xdr:colOff>
      <xdr:row>45</xdr:row>
      <xdr:rowOff>123825</xdr:rowOff>
    </xdr:to>
    <xdr:pic>
      <xdr:nvPicPr>
        <xdr:cNvPr id="14" name="Picture 70" descr="14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28850" y="8420100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46</xdr:row>
      <xdr:rowOff>28575</xdr:rowOff>
    </xdr:from>
    <xdr:to>
      <xdr:col>3</xdr:col>
      <xdr:colOff>723900</xdr:colOff>
      <xdr:row>47</xdr:row>
      <xdr:rowOff>133350</xdr:rowOff>
    </xdr:to>
    <xdr:pic>
      <xdr:nvPicPr>
        <xdr:cNvPr id="15" name="Picture 71" descr="15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09800" y="8810625"/>
          <a:ext cx="676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70</xdr:row>
      <xdr:rowOff>0</xdr:rowOff>
    </xdr:from>
    <xdr:to>
      <xdr:col>3</xdr:col>
      <xdr:colOff>485775</xdr:colOff>
      <xdr:row>71</xdr:row>
      <xdr:rowOff>171450</xdr:rowOff>
    </xdr:to>
    <xdr:pic>
      <xdr:nvPicPr>
        <xdr:cNvPr id="16" name="Picture 72" descr="10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95525" y="1335405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52</xdr:row>
      <xdr:rowOff>0</xdr:rowOff>
    </xdr:from>
    <xdr:to>
      <xdr:col>3</xdr:col>
      <xdr:colOff>495300</xdr:colOff>
      <xdr:row>53</xdr:row>
      <xdr:rowOff>161925</xdr:rowOff>
    </xdr:to>
    <xdr:pic>
      <xdr:nvPicPr>
        <xdr:cNvPr id="17" name="Picture 73" descr="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05050" y="99250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54</xdr:row>
      <xdr:rowOff>0</xdr:rowOff>
    </xdr:from>
    <xdr:to>
      <xdr:col>3</xdr:col>
      <xdr:colOff>504825</xdr:colOff>
      <xdr:row>55</xdr:row>
      <xdr:rowOff>171450</xdr:rowOff>
    </xdr:to>
    <xdr:pic>
      <xdr:nvPicPr>
        <xdr:cNvPr id="18" name="Picture 74" descr="2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05050" y="10306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55</xdr:row>
      <xdr:rowOff>190500</xdr:rowOff>
    </xdr:from>
    <xdr:to>
      <xdr:col>3</xdr:col>
      <xdr:colOff>504825</xdr:colOff>
      <xdr:row>57</xdr:row>
      <xdr:rowOff>161925</xdr:rowOff>
    </xdr:to>
    <xdr:pic>
      <xdr:nvPicPr>
        <xdr:cNvPr id="19" name="Picture 75" descr="3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05050" y="106870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58</xdr:row>
      <xdr:rowOff>9525</xdr:rowOff>
    </xdr:from>
    <xdr:to>
      <xdr:col>3</xdr:col>
      <xdr:colOff>495300</xdr:colOff>
      <xdr:row>59</xdr:row>
      <xdr:rowOff>171450</xdr:rowOff>
    </xdr:to>
    <xdr:pic>
      <xdr:nvPicPr>
        <xdr:cNvPr id="20" name="Picture 76" descr="4.pn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05050" y="110775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60</xdr:row>
      <xdr:rowOff>9525</xdr:rowOff>
    </xdr:from>
    <xdr:to>
      <xdr:col>3</xdr:col>
      <xdr:colOff>485775</xdr:colOff>
      <xdr:row>61</xdr:row>
      <xdr:rowOff>180975</xdr:rowOff>
    </xdr:to>
    <xdr:pic>
      <xdr:nvPicPr>
        <xdr:cNvPr id="21" name="Picture 77" descr="5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95525" y="1145857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62</xdr:row>
      <xdr:rowOff>9525</xdr:rowOff>
    </xdr:from>
    <xdr:to>
      <xdr:col>3</xdr:col>
      <xdr:colOff>485775</xdr:colOff>
      <xdr:row>63</xdr:row>
      <xdr:rowOff>180975</xdr:rowOff>
    </xdr:to>
    <xdr:pic>
      <xdr:nvPicPr>
        <xdr:cNvPr id="22" name="Picture 78" descr="6.pn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0" y="11839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64</xdr:row>
      <xdr:rowOff>9525</xdr:rowOff>
    </xdr:from>
    <xdr:to>
      <xdr:col>3</xdr:col>
      <xdr:colOff>504825</xdr:colOff>
      <xdr:row>65</xdr:row>
      <xdr:rowOff>171450</xdr:rowOff>
    </xdr:to>
    <xdr:pic>
      <xdr:nvPicPr>
        <xdr:cNvPr id="23" name="Picture 79" descr="7.pn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305050" y="12220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66</xdr:row>
      <xdr:rowOff>9525</xdr:rowOff>
    </xdr:from>
    <xdr:to>
      <xdr:col>3</xdr:col>
      <xdr:colOff>495300</xdr:colOff>
      <xdr:row>67</xdr:row>
      <xdr:rowOff>171450</xdr:rowOff>
    </xdr:to>
    <xdr:pic>
      <xdr:nvPicPr>
        <xdr:cNvPr id="24" name="Picture 80" descr="8.pn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305050" y="126015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68</xdr:row>
      <xdr:rowOff>9525</xdr:rowOff>
    </xdr:from>
    <xdr:to>
      <xdr:col>3</xdr:col>
      <xdr:colOff>485775</xdr:colOff>
      <xdr:row>69</xdr:row>
      <xdr:rowOff>180975</xdr:rowOff>
    </xdr:to>
    <xdr:pic>
      <xdr:nvPicPr>
        <xdr:cNvPr id="25" name="Picture 81" descr="9.pn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95525" y="1298257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72</xdr:row>
      <xdr:rowOff>19050</xdr:rowOff>
    </xdr:from>
    <xdr:to>
      <xdr:col>3</xdr:col>
      <xdr:colOff>495300</xdr:colOff>
      <xdr:row>73</xdr:row>
      <xdr:rowOff>180975</xdr:rowOff>
    </xdr:to>
    <xdr:pic>
      <xdr:nvPicPr>
        <xdr:cNvPr id="26" name="Picture 82" descr="1007.pn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95525" y="137541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74</xdr:row>
      <xdr:rowOff>9525</xdr:rowOff>
    </xdr:from>
    <xdr:to>
      <xdr:col>3</xdr:col>
      <xdr:colOff>495300</xdr:colOff>
      <xdr:row>75</xdr:row>
      <xdr:rowOff>171450</xdr:rowOff>
    </xdr:to>
    <xdr:pic>
      <xdr:nvPicPr>
        <xdr:cNvPr id="27" name="Picture 83" descr="1008.pn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95525" y="141255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76</xdr:row>
      <xdr:rowOff>9525</xdr:rowOff>
    </xdr:from>
    <xdr:to>
      <xdr:col>3</xdr:col>
      <xdr:colOff>495300</xdr:colOff>
      <xdr:row>77</xdr:row>
      <xdr:rowOff>180975</xdr:rowOff>
    </xdr:to>
    <xdr:pic>
      <xdr:nvPicPr>
        <xdr:cNvPr id="28" name="Picture 84" descr="1009.pn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295525" y="14506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78</xdr:row>
      <xdr:rowOff>19050</xdr:rowOff>
    </xdr:from>
    <xdr:to>
      <xdr:col>3</xdr:col>
      <xdr:colOff>485775</xdr:colOff>
      <xdr:row>79</xdr:row>
      <xdr:rowOff>180975</xdr:rowOff>
    </xdr:to>
    <xdr:pic>
      <xdr:nvPicPr>
        <xdr:cNvPr id="29" name="Picture 85" descr="1010.pn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95525" y="148971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80</xdr:row>
      <xdr:rowOff>9525</xdr:rowOff>
    </xdr:from>
    <xdr:to>
      <xdr:col>3</xdr:col>
      <xdr:colOff>495300</xdr:colOff>
      <xdr:row>81</xdr:row>
      <xdr:rowOff>180975</xdr:rowOff>
    </xdr:to>
    <xdr:pic>
      <xdr:nvPicPr>
        <xdr:cNvPr id="30" name="Picture 86" descr="1013.pn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286000" y="15268575"/>
          <a:ext cx="371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0</xdr:rowOff>
    </xdr:from>
    <xdr:to>
      <xdr:col>3</xdr:col>
      <xdr:colOff>485775</xdr:colOff>
      <xdr:row>83</xdr:row>
      <xdr:rowOff>171450</xdr:rowOff>
    </xdr:to>
    <xdr:pic>
      <xdr:nvPicPr>
        <xdr:cNvPr id="31" name="Picture 87" descr="1015.pn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0" y="15640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84</xdr:row>
      <xdr:rowOff>0</xdr:rowOff>
    </xdr:from>
    <xdr:to>
      <xdr:col>3</xdr:col>
      <xdr:colOff>495300</xdr:colOff>
      <xdr:row>85</xdr:row>
      <xdr:rowOff>171450</xdr:rowOff>
    </xdr:to>
    <xdr:pic>
      <xdr:nvPicPr>
        <xdr:cNvPr id="32" name="Picture 88" descr="1017.pn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95525" y="16021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95</xdr:row>
      <xdr:rowOff>133350</xdr:rowOff>
    </xdr:from>
    <xdr:to>
      <xdr:col>4</xdr:col>
      <xdr:colOff>0</xdr:colOff>
      <xdr:row>98</xdr:row>
      <xdr:rowOff>9525</xdr:rowOff>
    </xdr:to>
    <xdr:pic>
      <xdr:nvPicPr>
        <xdr:cNvPr id="33" name="Picture 89" descr="55.pn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00250" y="182499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714375</xdr:colOff>
      <xdr:row>99</xdr:row>
      <xdr:rowOff>123825</xdr:rowOff>
    </xdr:to>
    <xdr:pic>
      <xdr:nvPicPr>
        <xdr:cNvPr id="34" name="Picture 90" descr="56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62175" y="1868805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100</xdr:row>
      <xdr:rowOff>47625</xdr:rowOff>
    </xdr:from>
    <xdr:to>
      <xdr:col>3</xdr:col>
      <xdr:colOff>628650</xdr:colOff>
      <xdr:row>101</xdr:row>
      <xdr:rowOff>104775</xdr:rowOff>
    </xdr:to>
    <xdr:pic>
      <xdr:nvPicPr>
        <xdr:cNvPr id="35" name="Picture 91" descr="57.pn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38375" y="19116675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1143000</xdr:colOff>
      <xdr:row>102</xdr:row>
      <xdr:rowOff>0</xdr:rowOff>
    </xdr:from>
    <xdr:to>
      <xdr:col>3</xdr:col>
      <xdr:colOff>714375</xdr:colOff>
      <xdr:row>103</xdr:row>
      <xdr:rowOff>161925</xdr:rowOff>
    </xdr:to>
    <xdr:pic>
      <xdr:nvPicPr>
        <xdr:cNvPr id="36" name="Picture 92" descr="58.pn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76450" y="19450050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104</xdr:row>
      <xdr:rowOff>57150</xdr:rowOff>
    </xdr:from>
    <xdr:to>
      <xdr:col>3</xdr:col>
      <xdr:colOff>619125</xdr:colOff>
      <xdr:row>105</xdr:row>
      <xdr:rowOff>142875</xdr:rowOff>
    </xdr:to>
    <xdr:pic>
      <xdr:nvPicPr>
        <xdr:cNvPr id="37" name="Picture 93" descr="59.pn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62175" y="19888200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88</xdr:row>
      <xdr:rowOff>9525</xdr:rowOff>
    </xdr:from>
    <xdr:to>
      <xdr:col>3</xdr:col>
      <xdr:colOff>771525</xdr:colOff>
      <xdr:row>89</xdr:row>
      <xdr:rowOff>171450</xdr:rowOff>
    </xdr:to>
    <xdr:pic>
      <xdr:nvPicPr>
        <xdr:cNvPr id="38" name="Picture 94" descr="51.pn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33600" y="16792575"/>
          <a:ext cx="800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90</xdr:row>
      <xdr:rowOff>9525</xdr:rowOff>
    </xdr:from>
    <xdr:to>
      <xdr:col>3</xdr:col>
      <xdr:colOff>800100</xdr:colOff>
      <xdr:row>91</xdr:row>
      <xdr:rowOff>171450</xdr:rowOff>
    </xdr:to>
    <xdr:pic>
      <xdr:nvPicPr>
        <xdr:cNvPr id="39" name="Picture 95" descr="52.pn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143125" y="17173575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92</xdr:row>
      <xdr:rowOff>19050</xdr:rowOff>
    </xdr:from>
    <xdr:to>
      <xdr:col>3</xdr:col>
      <xdr:colOff>762000</xdr:colOff>
      <xdr:row>93</xdr:row>
      <xdr:rowOff>180975</xdr:rowOff>
    </xdr:to>
    <xdr:pic>
      <xdr:nvPicPr>
        <xdr:cNvPr id="40" name="Picture 96" descr="53.pn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05025" y="1756410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94</xdr:row>
      <xdr:rowOff>19050</xdr:rowOff>
    </xdr:from>
    <xdr:to>
      <xdr:col>3</xdr:col>
      <xdr:colOff>723900</xdr:colOff>
      <xdr:row>95</xdr:row>
      <xdr:rowOff>152400</xdr:rowOff>
    </xdr:to>
    <xdr:pic>
      <xdr:nvPicPr>
        <xdr:cNvPr id="41" name="Picture 97" descr="54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43125" y="17945100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1162050</xdr:colOff>
      <xdr:row>106</xdr:row>
      <xdr:rowOff>28575</xdr:rowOff>
    </xdr:from>
    <xdr:to>
      <xdr:col>3</xdr:col>
      <xdr:colOff>647700</xdr:colOff>
      <xdr:row>107</xdr:row>
      <xdr:rowOff>152400</xdr:rowOff>
    </xdr:to>
    <xdr:pic>
      <xdr:nvPicPr>
        <xdr:cNvPr id="42" name="Picture 99" descr="1001.pn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095500" y="202406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108</xdr:row>
      <xdr:rowOff>19050</xdr:rowOff>
    </xdr:from>
    <xdr:to>
      <xdr:col>3</xdr:col>
      <xdr:colOff>781050</xdr:colOff>
      <xdr:row>110</xdr:row>
      <xdr:rowOff>19050</xdr:rowOff>
    </xdr:to>
    <xdr:pic>
      <xdr:nvPicPr>
        <xdr:cNvPr id="43" name="Picture 100" descr="1005.pn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47875" y="2061210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110</xdr:row>
      <xdr:rowOff>19050</xdr:rowOff>
    </xdr:from>
    <xdr:to>
      <xdr:col>3</xdr:col>
      <xdr:colOff>752475</xdr:colOff>
      <xdr:row>112</xdr:row>
      <xdr:rowOff>9525</xdr:rowOff>
    </xdr:to>
    <xdr:pic>
      <xdr:nvPicPr>
        <xdr:cNvPr id="44" name="Picture 101" descr="1012.pn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066925" y="209931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112</xdr:row>
      <xdr:rowOff>9525</xdr:rowOff>
    </xdr:from>
    <xdr:to>
      <xdr:col>3</xdr:col>
      <xdr:colOff>714375</xdr:colOff>
      <xdr:row>114</xdr:row>
      <xdr:rowOff>9525</xdr:rowOff>
    </xdr:to>
    <xdr:pic>
      <xdr:nvPicPr>
        <xdr:cNvPr id="45" name="Picture 102" descr="1018.pn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09775" y="21364575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130</xdr:row>
      <xdr:rowOff>57150</xdr:rowOff>
    </xdr:from>
    <xdr:to>
      <xdr:col>3</xdr:col>
      <xdr:colOff>609600</xdr:colOff>
      <xdr:row>131</xdr:row>
      <xdr:rowOff>123825</xdr:rowOff>
    </xdr:to>
    <xdr:pic>
      <xdr:nvPicPr>
        <xdr:cNvPr id="46" name="Picture 116" descr="108.pn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181225" y="24841200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116</xdr:row>
      <xdr:rowOff>9525</xdr:rowOff>
    </xdr:from>
    <xdr:to>
      <xdr:col>3</xdr:col>
      <xdr:colOff>781050</xdr:colOff>
      <xdr:row>118</xdr:row>
      <xdr:rowOff>9525</xdr:rowOff>
    </xdr:to>
    <xdr:pic>
      <xdr:nvPicPr>
        <xdr:cNvPr id="47" name="Picture 117" descr="101.pn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066925" y="2212657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118</xdr:row>
      <xdr:rowOff>95250</xdr:rowOff>
    </xdr:from>
    <xdr:to>
      <xdr:col>3</xdr:col>
      <xdr:colOff>638175</xdr:colOff>
      <xdr:row>119</xdr:row>
      <xdr:rowOff>180975</xdr:rowOff>
    </xdr:to>
    <xdr:pic>
      <xdr:nvPicPr>
        <xdr:cNvPr id="48" name="Picture 118" descr="102.pn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143125" y="22593300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120</xdr:row>
      <xdr:rowOff>19050</xdr:rowOff>
    </xdr:from>
    <xdr:to>
      <xdr:col>3</xdr:col>
      <xdr:colOff>638175</xdr:colOff>
      <xdr:row>121</xdr:row>
      <xdr:rowOff>104775</xdr:rowOff>
    </xdr:to>
    <xdr:pic>
      <xdr:nvPicPr>
        <xdr:cNvPr id="49" name="Picture 119" descr="103.pn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71700" y="2289810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122</xdr:row>
      <xdr:rowOff>57150</xdr:rowOff>
    </xdr:from>
    <xdr:to>
      <xdr:col>3</xdr:col>
      <xdr:colOff>638175</xdr:colOff>
      <xdr:row>123</xdr:row>
      <xdr:rowOff>133350</xdr:rowOff>
    </xdr:to>
    <xdr:pic>
      <xdr:nvPicPr>
        <xdr:cNvPr id="50" name="Picture 120" descr="104.pn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181225" y="2331720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124</xdr:row>
      <xdr:rowOff>28575</xdr:rowOff>
    </xdr:from>
    <xdr:to>
      <xdr:col>3</xdr:col>
      <xdr:colOff>638175</xdr:colOff>
      <xdr:row>125</xdr:row>
      <xdr:rowOff>114300</xdr:rowOff>
    </xdr:to>
    <xdr:pic>
      <xdr:nvPicPr>
        <xdr:cNvPr id="51" name="Picture 121" descr="105.pn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162175" y="2366962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126</xdr:row>
      <xdr:rowOff>28575</xdr:rowOff>
    </xdr:from>
    <xdr:to>
      <xdr:col>3</xdr:col>
      <xdr:colOff>647700</xdr:colOff>
      <xdr:row>127</xdr:row>
      <xdr:rowOff>133350</xdr:rowOff>
    </xdr:to>
    <xdr:pic>
      <xdr:nvPicPr>
        <xdr:cNvPr id="52" name="Picture 122" descr="106.pn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33600" y="24050625"/>
          <a:ext cx="676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128</xdr:row>
      <xdr:rowOff>76200</xdr:rowOff>
    </xdr:from>
    <xdr:to>
      <xdr:col>3</xdr:col>
      <xdr:colOff>600075</xdr:colOff>
      <xdr:row>129</xdr:row>
      <xdr:rowOff>123825</xdr:rowOff>
    </xdr:to>
    <xdr:pic>
      <xdr:nvPicPr>
        <xdr:cNvPr id="53" name="Picture 123" descr="107.pn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200275" y="24479250"/>
          <a:ext cx="561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132</xdr:row>
      <xdr:rowOff>66675</xdr:rowOff>
    </xdr:from>
    <xdr:to>
      <xdr:col>3</xdr:col>
      <xdr:colOff>600075</xdr:colOff>
      <xdr:row>133</xdr:row>
      <xdr:rowOff>133350</xdr:rowOff>
    </xdr:to>
    <xdr:pic>
      <xdr:nvPicPr>
        <xdr:cNvPr id="54" name="Picture 124" descr="1019.pn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171700" y="25231725"/>
          <a:ext cx="590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134</xdr:row>
      <xdr:rowOff>66675</xdr:rowOff>
    </xdr:from>
    <xdr:to>
      <xdr:col>3</xdr:col>
      <xdr:colOff>647700</xdr:colOff>
      <xdr:row>135</xdr:row>
      <xdr:rowOff>152400</xdr:rowOff>
    </xdr:to>
    <xdr:pic>
      <xdr:nvPicPr>
        <xdr:cNvPr id="55" name="Picture 125" descr="1003.pn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71700" y="2561272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136</xdr:row>
      <xdr:rowOff>19050</xdr:rowOff>
    </xdr:from>
    <xdr:to>
      <xdr:col>3</xdr:col>
      <xdr:colOff>628650</xdr:colOff>
      <xdr:row>137</xdr:row>
      <xdr:rowOff>104775</xdr:rowOff>
    </xdr:to>
    <xdr:pic>
      <xdr:nvPicPr>
        <xdr:cNvPr id="56" name="Picture 126" descr="1011.pn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162175" y="25946100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138</xdr:row>
      <xdr:rowOff>57150</xdr:rowOff>
    </xdr:from>
    <xdr:to>
      <xdr:col>3</xdr:col>
      <xdr:colOff>600075</xdr:colOff>
      <xdr:row>139</xdr:row>
      <xdr:rowOff>123825</xdr:rowOff>
    </xdr:to>
    <xdr:pic>
      <xdr:nvPicPr>
        <xdr:cNvPr id="57" name="Picture 127" descr="1014.pn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81225" y="26365200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158</xdr:row>
      <xdr:rowOff>57150</xdr:rowOff>
    </xdr:from>
    <xdr:to>
      <xdr:col>3</xdr:col>
      <xdr:colOff>628650</xdr:colOff>
      <xdr:row>159</xdr:row>
      <xdr:rowOff>142875</xdr:rowOff>
    </xdr:to>
    <xdr:pic>
      <xdr:nvPicPr>
        <xdr:cNvPr id="58" name="Picture 128" descr="159.pn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62175" y="30184725"/>
          <a:ext cx="628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142</xdr:row>
      <xdr:rowOff>19050</xdr:rowOff>
    </xdr:from>
    <xdr:to>
      <xdr:col>3</xdr:col>
      <xdr:colOff>714375</xdr:colOff>
      <xdr:row>143</xdr:row>
      <xdr:rowOff>161925</xdr:rowOff>
    </xdr:to>
    <xdr:pic>
      <xdr:nvPicPr>
        <xdr:cNvPr id="59" name="Picture 129" descr="151.pn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114550" y="27089100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144</xdr:row>
      <xdr:rowOff>38100</xdr:rowOff>
    </xdr:from>
    <xdr:to>
      <xdr:col>3</xdr:col>
      <xdr:colOff>628650</xdr:colOff>
      <xdr:row>145</xdr:row>
      <xdr:rowOff>114300</xdr:rowOff>
    </xdr:to>
    <xdr:pic>
      <xdr:nvPicPr>
        <xdr:cNvPr id="60" name="Picture 130" descr="152.pn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162175" y="27489150"/>
          <a:ext cx="628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146</xdr:row>
      <xdr:rowOff>19050</xdr:rowOff>
    </xdr:from>
    <xdr:to>
      <xdr:col>3</xdr:col>
      <xdr:colOff>666750</xdr:colOff>
      <xdr:row>147</xdr:row>
      <xdr:rowOff>123825</xdr:rowOff>
    </xdr:to>
    <xdr:pic>
      <xdr:nvPicPr>
        <xdr:cNvPr id="61" name="Picture 131" descr="153.pn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152650" y="27860625"/>
          <a:ext cx="676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148</xdr:row>
      <xdr:rowOff>38100</xdr:rowOff>
    </xdr:from>
    <xdr:to>
      <xdr:col>3</xdr:col>
      <xdr:colOff>666750</xdr:colOff>
      <xdr:row>149</xdr:row>
      <xdr:rowOff>133350</xdr:rowOff>
    </xdr:to>
    <xdr:pic>
      <xdr:nvPicPr>
        <xdr:cNvPr id="62" name="Picture 132" descr="154.pn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171700" y="28260675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150</xdr:row>
      <xdr:rowOff>38100</xdr:rowOff>
    </xdr:from>
    <xdr:to>
      <xdr:col>3</xdr:col>
      <xdr:colOff>714375</xdr:colOff>
      <xdr:row>151</xdr:row>
      <xdr:rowOff>180975</xdr:rowOff>
    </xdr:to>
    <xdr:pic>
      <xdr:nvPicPr>
        <xdr:cNvPr id="63" name="Picture 133" descr="155.pn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14550" y="2864167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151</xdr:row>
      <xdr:rowOff>180975</xdr:rowOff>
    </xdr:from>
    <xdr:to>
      <xdr:col>3</xdr:col>
      <xdr:colOff>742950</xdr:colOff>
      <xdr:row>153</xdr:row>
      <xdr:rowOff>133350</xdr:rowOff>
    </xdr:to>
    <xdr:pic>
      <xdr:nvPicPr>
        <xdr:cNvPr id="64" name="Picture 134" descr="156.pn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143125" y="28975050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154</xdr:row>
      <xdr:rowOff>0</xdr:rowOff>
    </xdr:from>
    <xdr:to>
      <xdr:col>3</xdr:col>
      <xdr:colOff>742950</xdr:colOff>
      <xdr:row>155</xdr:row>
      <xdr:rowOff>142875</xdr:rowOff>
    </xdr:to>
    <xdr:pic>
      <xdr:nvPicPr>
        <xdr:cNvPr id="65" name="Picture 135" descr="157.pn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43125" y="2936557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156</xdr:row>
      <xdr:rowOff>9525</xdr:rowOff>
    </xdr:from>
    <xdr:to>
      <xdr:col>3</xdr:col>
      <xdr:colOff>704850</xdr:colOff>
      <xdr:row>157</xdr:row>
      <xdr:rowOff>133350</xdr:rowOff>
    </xdr:to>
    <xdr:pic>
      <xdr:nvPicPr>
        <xdr:cNvPr id="66" name="Picture 136" descr="158.pn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152650" y="29756100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160</xdr:row>
      <xdr:rowOff>104775</xdr:rowOff>
    </xdr:from>
    <xdr:to>
      <xdr:col>3</xdr:col>
      <xdr:colOff>619125</xdr:colOff>
      <xdr:row>161</xdr:row>
      <xdr:rowOff>180975</xdr:rowOff>
    </xdr:to>
    <xdr:pic>
      <xdr:nvPicPr>
        <xdr:cNvPr id="67" name="Picture 142" descr="1002.pn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171700" y="306133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162</xdr:row>
      <xdr:rowOff>47625</xdr:rowOff>
    </xdr:from>
    <xdr:to>
      <xdr:col>3</xdr:col>
      <xdr:colOff>657225</xdr:colOff>
      <xdr:row>163</xdr:row>
      <xdr:rowOff>152400</xdr:rowOff>
    </xdr:to>
    <xdr:pic>
      <xdr:nvPicPr>
        <xdr:cNvPr id="68" name="Picture 143" descr="1004.png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143125" y="30937200"/>
          <a:ext cx="676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164</xdr:row>
      <xdr:rowOff>38100</xdr:rowOff>
    </xdr:from>
    <xdr:to>
      <xdr:col>3</xdr:col>
      <xdr:colOff>695325</xdr:colOff>
      <xdr:row>165</xdr:row>
      <xdr:rowOff>171450</xdr:rowOff>
    </xdr:to>
    <xdr:pic>
      <xdr:nvPicPr>
        <xdr:cNvPr id="69" name="Picture 144" descr="1006.png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085975" y="31308675"/>
          <a:ext cx="771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165</xdr:row>
      <xdr:rowOff>171450</xdr:rowOff>
    </xdr:from>
    <xdr:to>
      <xdr:col>3</xdr:col>
      <xdr:colOff>771525</xdr:colOff>
      <xdr:row>167</xdr:row>
      <xdr:rowOff>152400</xdr:rowOff>
    </xdr:to>
    <xdr:pic>
      <xdr:nvPicPr>
        <xdr:cNvPr id="70" name="Picture 145" descr="1016.pn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085975" y="316420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</xdr:row>
      <xdr:rowOff>76200</xdr:rowOff>
    </xdr:from>
    <xdr:to>
      <xdr:col>8</xdr:col>
      <xdr:colOff>438150</xdr:colOff>
      <xdr:row>2</xdr:row>
      <xdr:rowOff>142875</xdr:rowOff>
    </xdr:to>
    <xdr:sp>
      <xdr:nvSpPr>
        <xdr:cNvPr id="71" name="Smiley Face 114"/>
        <xdr:cNvSpPr>
          <a:spLocks/>
        </xdr:cNvSpPr>
      </xdr:nvSpPr>
      <xdr:spPr>
        <a:xfrm>
          <a:off x="6096000" y="266700"/>
          <a:ext cx="276225" cy="266700"/>
        </a:xfrm>
        <a:prstGeom prst="smileyFace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9525</xdr:colOff>
      <xdr:row>13</xdr:row>
      <xdr:rowOff>9525</xdr:rowOff>
    </xdr:to>
    <xdr:graphicFrame>
      <xdr:nvGraphicFramePr>
        <xdr:cNvPr id="72" name="Chart 98"/>
        <xdr:cNvGraphicFramePr/>
      </xdr:nvGraphicFramePr>
      <xdr:xfrm>
        <a:off x="6896100" y="190500"/>
        <a:ext cx="6038850" cy="231457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ca7\Desktop\Real%20est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ngdoms Live"/>
      <sheetName val="World War"/>
      <sheetName val="Sheet2"/>
      <sheetName val="Sheet3"/>
      <sheetName val="Sheet4"/>
    </sheetNames>
    <sheetDataSet>
      <sheetData sheetId="0">
        <row r="2">
          <cell r="AC2">
            <v>8.642170913333429E-05</v>
          </cell>
        </row>
        <row r="3">
          <cell r="AC3">
            <v>0.0005041266366111167</v>
          </cell>
        </row>
        <row r="4">
          <cell r="AC4">
            <v>0.0005185302548000058</v>
          </cell>
        </row>
        <row r="5">
          <cell r="AC5">
            <v>0.003600904547222262</v>
          </cell>
        </row>
        <row r="6">
          <cell r="AC6">
            <v>0.0043210854566667145</v>
          </cell>
        </row>
        <row r="7">
          <cell r="AC7">
            <v>0.028807236377778097</v>
          </cell>
        </row>
        <row r="8">
          <cell r="AC8">
            <v>0.057614472755556194</v>
          </cell>
        </row>
        <row r="9">
          <cell r="AC9">
            <v>0.10082532732222334</v>
          </cell>
        </row>
        <row r="10">
          <cell r="AC10">
            <v>0.22181572010889136</v>
          </cell>
        </row>
        <row r="11">
          <cell r="AC11">
            <v>0.3226410474311147</v>
          </cell>
        </row>
        <row r="12">
          <cell r="AC12">
            <v>0.2592651274000029</v>
          </cell>
        </row>
      </sheetData>
      <sheetData sheetId="1">
        <row r="3">
          <cell r="AE3" t="str">
            <v>Supply Depot</v>
          </cell>
          <cell r="AF3">
            <v>0.010172486102063944</v>
          </cell>
        </row>
        <row r="4">
          <cell r="AE4" t="str">
            <v>Refinery</v>
          </cell>
          <cell r="AF4">
            <v>0.04872085448883257</v>
          </cell>
        </row>
        <row r="5">
          <cell r="AE5" t="str">
            <v>Weapons Fact.</v>
          </cell>
          <cell r="AF5">
            <v>0.07656134276816547</v>
          </cell>
        </row>
        <row r="6">
          <cell r="AE6" t="str">
            <v>Power Plant</v>
          </cell>
          <cell r="AF6">
            <v>0.18988640723852696</v>
          </cell>
        </row>
        <row r="7">
          <cell r="AE7" t="str">
            <v>Oil Rig</v>
          </cell>
          <cell r="AF7">
            <v>0.674596446768451</v>
          </cell>
        </row>
        <row r="8">
          <cell r="AE8" t="str">
            <v>Military Lab</v>
          </cell>
          <cell r="AF8">
            <v>0</v>
          </cell>
        </row>
        <row r="9">
          <cell r="AE9" t="str">
            <v>Nuclear</v>
          </cell>
          <cell r="AF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47"/>
  <sheetViews>
    <sheetView tabSelected="1" view="pageBreakPreview" zoomScale="60" zoomScalePageLayoutView="0" workbookViewId="0" topLeftCell="A1">
      <selection activeCell="F45" sqref="F45:G46"/>
    </sheetView>
  </sheetViews>
  <sheetFormatPr defaultColWidth="9.140625" defaultRowHeight="12.75"/>
  <cols>
    <col min="1" max="1" width="3.00390625" style="0" customWidth="1"/>
    <col min="2" max="2" width="11.00390625" style="0" customWidth="1"/>
    <col min="3" max="3" width="18.421875" style="0" customWidth="1"/>
    <col min="4" max="4" width="13.00390625" style="0" customWidth="1"/>
    <col min="5" max="5" width="13.140625" style="0" customWidth="1"/>
    <col min="6" max="7" width="9.28125" style="0" bestFit="1" customWidth="1"/>
    <col min="8" max="8" width="11.8515625" style="0" bestFit="1" customWidth="1"/>
    <col min="9" max="9" width="14.421875" style="0" bestFit="1" customWidth="1"/>
    <col min="10" max="10" width="9.28125" style="0" bestFit="1" customWidth="1"/>
    <col min="11" max="11" width="9.421875" style="0" bestFit="1" customWidth="1"/>
    <col min="12" max="12" width="12.00390625" style="0" bestFit="1" customWidth="1"/>
    <col min="13" max="13" width="9.28125" style="0" bestFit="1" customWidth="1"/>
    <col min="14" max="14" width="10.57421875" style="0" bestFit="1" customWidth="1"/>
    <col min="15" max="15" width="17.28125" style="0" customWidth="1"/>
    <col min="16" max="16" width="13.421875" style="0" customWidth="1"/>
    <col min="18" max="18" width="13.7109375" style="0" bestFit="1" customWidth="1"/>
    <col min="21" max="21" width="8.140625" style="0" customWidth="1"/>
    <col min="25" max="25" width="11.57421875" style="0" customWidth="1"/>
    <col min="31" max="31" width="13.421875" style="0" customWidth="1"/>
    <col min="34" max="34" width="13.421875" style="0" customWidth="1"/>
    <col min="35" max="35" width="17.00390625" style="0" customWidth="1"/>
    <col min="37" max="37" width="12.8515625" style="0" customWidth="1"/>
    <col min="38" max="38" width="15.8515625" style="0" customWidth="1"/>
    <col min="40" max="40" width="15.421875" style="0" customWidth="1"/>
    <col min="41" max="41" width="13.8515625" style="0" customWidth="1"/>
    <col min="42" max="42" width="8.421875" style="0" customWidth="1"/>
    <col min="43" max="43" width="12.00390625" style="0" customWidth="1"/>
    <col min="45" max="45" width="12.7109375" style="0" customWidth="1"/>
    <col min="46" max="46" width="11.8515625" style="0" customWidth="1"/>
    <col min="53" max="53" width="13.57421875" style="0" customWidth="1"/>
  </cols>
  <sheetData>
    <row r="1" spans="1:9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2"/>
      <c r="W1" s="3"/>
      <c r="X1" s="3"/>
      <c r="Y1" s="3"/>
      <c r="Z1" s="3"/>
      <c r="AA1" s="4"/>
      <c r="AB1" s="5"/>
      <c r="AC1" s="4"/>
      <c r="AD1" s="4"/>
      <c r="AE1" s="6" t="s">
        <v>159</v>
      </c>
      <c r="AF1" s="6"/>
      <c r="AG1" s="6" t="s">
        <v>162</v>
      </c>
      <c r="AH1" s="6" t="s">
        <v>163</v>
      </c>
      <c r="AI1" s="6" t="s">
        <v>164</v>
      </c>
      <c r="AJ1" s="6" t="s">
        <v>13</v>
      </c>
      <c r="AK1" s="6" t="s">
        <v>15</v>
      </c>
      <c r="AL1" s="6" t="s">
        <v>16</v>
      </c>
      <c r="AM1" s="6" t="s">
        <v>14</v>
      </c>
      <c r="AN1" s="6" t="s">
        <v>165</v>
      </c>
      <c r="AO1" s="6" t="s">
        <v>166</v>
      </c>
      <c r="AP1" s="6" t="s">
        <v>17</v>
      </c>
      <c r="AQ1" s="6" t="s">
        <v>22</v>
      </c>
      <c r="AR1" s="6" t="s">
        <v>18</v>
      </c>
      <c r="AS1" s="7" t="s">
        <v>29</v>
      </c>
      <c r="AT1" s="8">
        <v>0</v>
      </c>
      <c r="AU1" s="4"/>
      <c r="AV1" s="3"/>
      <c r="AW1" s="9"/>
      <c r="AX1" s="10"/>
      <c r="AY1" s="10"/>
      <c r="AZ1" s="10"/>
      <c r="BA1" s="10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3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3"/>
      <c r="CG1" s="3"/>
      <c r="CH1" s="3"/>
      <c r="CI1" s="3"/>
      <c r="CJ1" s="3"/>
      <c r="CK1" s="3"/>
      <c r="CL1" s="3"/>
      <c r="CM1" s="3"/>
    </row>
    <row r="2" spans="1:91" ht="15.75" customHeight="1">
      <c r="A2" s="1"/>
      <c r="B2" s="329" t="s">
        <v>53</v>
      </c>
      <c r="C2" s="330"/>
      <c r="D2" s="331"/>
      <c r="E2" s="11"/>
      <c r="F2" s="12"/>
      <c r="G2" s="335"/>
      <c r="H2" s="336"/>
      <c r="I2" s="337"/>
      <c r="J2" s="1"/>
      <c r="K2" s="1"/>
      <c r="L2" s="1"/>
      <c r="M2" s="1"/>
      <c r="O2" s="1"/>
      <c r="P2" s="1"/>
      <c r="Q2" s="1"/>
      <c r="R2" s="338" t="s">
        <v>31</v>
      </c>
      <c r="S2" s="339"/>
      <c r="T2" s="339"/>
      <c r="U2" s="340"/>
      <c r="V2" s="2"/>
      <c r="W2" s="3"/>
      <c r="X2" s="3"/>
      <c r="Y2" s="3"/>
      <c r="Z2" s="3"/>
      <c r="AA2" s="4"/>
      <c r="AB2" s="5"/>
      <c r="AC2" s="13"/>
      <c r="AD2" s="13"/>
      <c r="AE2" s="8" t="s">
        <v>161</v>
      </c>
      <c r="AF2" s="8" t="s">
        <v>160</v>
      </c>
      <c r="AG2" s="14" t="s">
        <v>72</v>
      </c>
      <c r="AH2" s="14">
        <v>1</v>
      </c>
      <c r="AI2" s="15" t="s">
        <v>59</v>
      </c>
      <c r="AJ2" s="14">
        <f>E19</f>
        <v>100</v>
      </c>
      <c r="AK2" s="14">
        <v>20000</v>
      </c>
      <c r="AL2" s="14">
        <f>IF((AJ2&gt;8),(AK2+(AK2/10)*8)+((AK2+(AK2/10)*8)/20*(AJ2-10)),AK2+(AK2/10)*AJ2)</f>
        <v>198000</v>
      </c>
      <c r="AM2" s="14">
        <f>F19</f>
        <v>1000</v>
      </c>
      <c r="AN2" s="14">
        <f>AM2*AJ2</f>
        <v>100000</v>
      </c>
      <c r="AO2" s="14"/>
      <c r="AP2" s="14">
        <f>M19</f>
        <v>0</v>
      </c>
      <c r="AQ2" s="14">
        <f>K19</f>
        <v>0</v>
      </c>
      <c r="AR2" s="16">
        <f>N19</f>
        <v>19.8</v>
      </c>
      <c r="AS2" s="17" t="str">
        <f>INDEX(AI2:AR16,MATCH(MIN(AR2:AR16),AR2:AR16,0),1)</f>
        <v>Military Lab</v>
      </c>
      <c r="AT2" s="8">
        <f aca="true" t="shared" si="0" ref="AT2:AT17">AT1+1</f>
        <v>1</v>
      </c>
      <c r="AU2" s="4"/>
      <c r="AV2" s="3"/>
      <c r="AW2" s="9"/>
      <c r="AX2" s="10"/>
      <c r="AY2" s="10"/>
      <c r="AZ2" s="18"/>
      <c r="BA2" s="18"/>
      <c r="BB2" s="19"/>
      <c r="BC2" s="19"/>
      <c r="BD2" s="19"/>
      <c r="BE2" s="9"/>
      <c r="BF2" s="9"/>
      <c r="BG2" s="9"/>
      <c r="BH2" s="9"/>
      <c r="BI2" s="9"/>
      <c r="BJ2" s="9"/>
      <c r="BK2" s="9"/>
      <c r="BL2" s="9"/>
      <c r="BM2" s="3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3"/>
      <c r="CG2" s="3"/>
      <c r="CH2" s="3"/>
      <c r="CI2" s="3"/>
      <c r="CJ2" s="3"/>
      <c r="CK2" s="3"/>
      <c r="CL2" s="3"/>
      <c r="CM2" s="3"/>
    </row>
    <row r="3" spans="1:91" ht="15.75" customHeight="1">
      <c r="A3" s="1"/>
      <c r="B3" s="332"/>
      <c r="C3" s="333"/>
      <c r="D3" s="334"/>
      <c r="E3" s="341" t="s">
        <v>203</v>
      </c>
      <c r="F3" s="342"/>
      <c r="G3" s="20" t="s">
        <v>230</v>
      </c>
      <c r="H3" s="21" t="s">
        <v>43</v>
      </c>
      <c r="I3" s="22"/>
      <c r="J3" s="1"/>
      <c r="K3" s="1"/>
      <c r="L3" s="1"/>
      <c r="M3" s="1"/>
      <c r="O3" s="1"/>
      <c r="P3" s="1"/>
      <c r="Q3" s="1"/>
      <c r="R3" s="23" t="s">
        <v>32</v>
      </c>
      <c r="S3" s="24" t="s">
        <v>33</v>
      </c>
      <c r="T3" s="24"/>
      <c r="U3" s="25" t="s">
        <v>17</v>
      </c>
      <c r="V3" s="2"/>
      <c r="W3" s="3"/>
      <c r="X3" s="3"/>
      <c r="Y3" s="3"/>
      <c r="Z3" s="3"/>
      <c r="AA3" s="4"/>
      <c r="AB3" s="3"/>
      <c r="AC3" s="13"/>
      <c r="AD3" s="13"/>
      <c r="AE3" s="15" t="s">
        <v>59</v>
      </c>
      <c r="AF3" s="26">
        <f>AN2/AN17</f>
        <v>0.011341083073433513</v>
      </c>
      <c r="AG3" s="14" t="s">
        <v>73</v>
      </c>
      <c r="AH3" s="14">
        <v>1</v>
      </c>
      <c r="AI3" s="15" t="s">
        <v>60</v>
      </c>
      <c r="AJ3" s="14">
        <f>E21</f>
        <v>100</v>
      </c>
      <c r="AK3" s="14">
        <v>27000</v>
      </c>
      <c r="AL3" s="14">
        <f>IF(AK3="NO","NO",IF(AJ3&gt;0,AK3+((AJ3+1)*(AK3/9)),AK3+((AJ3)*(AK3/9))))</f>
        <v>330000</v>
      </c>
      <c r="AM3" s="14">
        <v>3</v>
      </c>
      <c r="AN3" s="14">
        <v>0</v>
      </c>
      <c r="AO3" s="14">
        <f aca="true" t="shared" si="1" ref="AO3:AO12">AM3*AJ3</f>
        <v>300</v>
      </c>
      <c r="AP3" s="14">
        <f>M21</f>
        <v>0</v>
      </c>
      <c r="AQ3" s="14">
        <f>K21</f>
        <v>0</v>
      </c>
      <c r="AR3" s="14" t="str">
        <f>N21</f>
        <v>Restrict</v>
      </c>
      <c r="AS3" s="7" t="s">
        <v>168</v>
      </c>
      <c r="AT3" s="8">
        <f t="shared" si="0"/>
        <v>2</v>
      </c>
      <c r="AU3" s="4"/>
      <c r="AV3" s="3"/>
      <c r="AW3" s="9"/>
      <c r="AX3" s="10"/>
      <c r="AY3" s="10"/>
      <c r="AZ3" s="18"/>
      <c r="BA3" s="18"/>
      <c r="BB3" s="19"/>
      <c r="BC3" s="19"/>
      <c r="BD3" s="19"/>
      <c r="BE3" s="9"/>
      <c r="BF3" s="9"/>
      <c r="BG3" s="9"/>
      <c r="BH3" s="9"/>
      <c r="BI3" s="9"/>
      <c r="BJ3" s="9"/>
      <c r="BK3" s="9"/>
      <c r="BL3" s="9"/>
      <c r="BM3" s="3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3"/>
      <c r="CG3" s="3"/>
      <c r="CH3" s="3"/>
      <c r="CI3" s="3"/>
      <c r="CJ3" s="3"/>
      <c r="CK3" s="3"/>
      <c r="CL3" s="3"/>
      <c r="CM3" s="3"/>
    </row>
    <row r="4" spans="1:91" ht="15" customHeight="1">
      <c r="A4" s="1"/>
      <c r="B4" s="27" t="s">
        <v>0</v>
      </c>
      <c r="C4" s="28"/>
      <c r="D4" s="28"/>
      <c r="E4" s="343" t="s">
        <v>204</v>
      </c>
      <c r="F4" s="343"/>
      <c r="G4" s="343"/>
      <c r="H4" s="343"/>
      <c r="I4" s="344"/>
      <c r="J4" s="1"/>
      <c r="K4" s="1"/>
      <c r="L4" s="1"/>
      <c r="M4" s="1"/>
      <c r="O4" s="1"/>
      <c r="P4" s="1"/>
      <c r="Q4" s="1"/>
      <c r="R4" s="29">
        <f>H6</f>
        <v>39994.48921111111</v>
      </c>
      <c r="S4" s="345">
        <f>H10</f>
        <v>7646178</v>
      </c>
      <c r="T4" s="345"/>
      <c r="U4" s="30" t="s">
        <v>34</v>
      </c>
      <c r="V4" s="2"/>
      <c r="W4" s="3"/>
      <c r="X4" s="3"/>
      <c r="Y4" s="3"/>
      <c r="Z4" s="3"/>
      <c r="AA4" s="4"/>
      <c r="AB4" s="3"/>
      <c r="AC4" s="13"/>
      <c r="AD4" s="13"/>
      <c r="AE4" s="15" t="s">
        <v>61</v>
      </c>
      <c r="AF4" s="26">
        <f>AN4/AN17</f>
        <v>0.051601927984122484</v>
      </c>
      <c r="AG4" s="14" t="s">
        <v>72</v>
      </c>
      <c r="AH4" s="14">
        <v>2</v>
      </c>
      <c r="AI4" s="15" t="s">
        <v>61</v>
      </c>
      <c r="AJ4" s="14">
        <f>E23</f>
        <v>70</v>
      </c>
      <c r="AK4" s="14">
        <v>150000</v>
      </c>
      <c r="AL4" s="14">
        <f>IF(AK4="NO","NO",AK4+(AK4/10)*AJ4)</f>
        <v>1200000</v>
      </c>
      <c r="AM4" s="14">
        <f>F23</f>
        <v>6500</v>
      </c>
      <c r="AN4" s="14">
        <f aca="true" t="shared" si="2" ref="AN4:AN16">AM4*AJ4</f>
        <v>455000</v>
      </c>
      <c r="AO4" s="14"/>
      <c r="AP4" s="14">
        <f>M23</f>
        <v>0</v>
      </c>
      <c r="AQ4" s="14">
        <f>K23</f>
        <v>0</v>
      </c>
      <c r="AR4" s="14">
        <f>N23</f>
        <v>18.46153846153846</v>
      </c>
      <c r="AS4" s="14">
        <f>INDEX(AL2:AR16,MATCH(MIN(AR2:AR16),AR2:AR16,0),1)</f>
        <v>85800000</v>
      </c>
      <c r="AT4" s="8">
        <f t="shared" si="0"/>
        <v>3</v>
      </c>
      <c r="AU4" s="4"/>
      <c r="AV4" s="3"/>
      <c r="AW4" s="9"/>
      <c r="AX4" s="10"/>
      <c r="AY4" s="10"/>
      <c r="AZ4" s="18"/>
      <c r="BA4" s="18"/>
      <c r="BB4" s="19"/>
      <c r="BC4" s="19"/>
      <c r="BD4" s="19"/>
      <c r="BE4" s="9"/>
      <c r="BF4" s="9"/>
      <c r="BG4" s="9"/>
      <c r="BH4" s="9"/>
      <c r="BI4" s="9"/>
      <c r="BJ4" s="9"/>
      <c r="BK4" s="9"/>
      <c r="BL4" s="9"/>
      <c r="BM4" s="3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3"/>
      <c r="CG4" s="3"/>
      <c r="CH4" s="3"/>
      <c r="CI4" s="3"/>
      <c r="CJ4" s="3"/>
      <c r="CK4" s="3"/>
      <c r="CL4" s="3"/>
      <c r="CM4" s="3"/>
    </row>
    <row r="5" spans="1:91" ht="15" customHeight="1">
      <c r="A5" s="1"/>
      <c r="B5" s="31" t="s">
        <v>49</v>
      </c>
      <c r="C5" s="32" t="s">
        <v>1</v>
      </c>
      <c r="D5" s="33" t="s">
        <v>2</v>
      </c>
      <c r="E5" s="34" t="s">
        <v>141</v>
      </c>
      <c r="F5" s="28"/>
      <c r="G5" s="28"/>
      <c r="H5" s="323" t="s">
        <v>3</v>
      </c>
      <c r="I5" s="324"/>
      <c r="J5" s="1"/>
      <c r="K5" s="1"/>
      <c r="L5" s="1"/>
      <c r="M5" s="1"/>
      <c r="O5" s="1"/>
      <c r="P5" s="1"/>
      <c r="Q5" s="1"/>
      <c r="R5" s="35">
        <f>H6+H7</f>
        <v>39994.52115555556</v>
      </c>
      <c r="S5" s="149">
        <f aca="true" t="shared" si="3" ref="S5:S68">S4+$P$19</f>
        <v>14623578</v>
      </c>
      <c r="T5" s="149"/>
      <c r="U5" s="36">
        <f>1</f>
        <v>1</v>
      </c>
      <c r="V5" s="2"/>
      <c r="W5" s="3"/>
      <c r="X5" s="3"/>
      <c r="Y5" s="3"/>
      <c r="Z5" s="3"/>
      <c r="AA5" s="4"/>
      <c r="AB5" s="3"/>
      <c r="AC5" s="13"/>
      <c r="AD5" s="13"/>
      <c r="AE5" s="15" t="s">
        <v>80</v>
      </c>
      <c r="AF5" s="26">
        <f>AN7/AN17</f>
        <v>0.08420754182024383</v>
      </c>
      <c r="AG5" s="14" t="s">
        <v>74</v>
      </c>
      <c r="AH5" s="14">
        <v>3</v>
      </c>
      <c r="AI5" s="15" t="s">
        <v>21</v>
      </c>
      <c r="AJ5" s="14">
        <f>E25</f>
        <v>1</v>
      </c>
      <c r="AK5" s="14">
        <v>198000</v>
      </c>
      <c r="AL5" s="14" t="str">
        <f>IF(E25&gt;0,"Limit",198000)</f>
        <v>Limit</v>
      </c>
      <c r="AM5" s="14" t="str">
        <f>F25</f>
        <v>Energy +1</v>
      </c>
      <c r="AN5" s="14">
        <v>0</v>
      </c>
      <c r="AO5" s="14"/>
      <c r="AP5" s="14">
        <f>M25</f>
        <v>0</v>
      </c>
      <c r="AQ5" s="14" t="str">
        <f>K25</f>
        <v>None</v>
      </c>
      <c r="AR5" s="14" t="str">
        <f>N25</f>
        <v>Restrict</v>
      </c>
      <c r="AS5" s="7" t="s">
        <v>169</v>
      </c>
      <c r="AT5" s="8">
        <f t="shared" si="0"/>
        <v>4</v>
      </c>
      <c r="AU5" s="4"/>
      <c r="AV5" s="3"/>
      <c r="AW5" s="9"/>
      <c r="AX5" s="10"/>
      <c r="AY5" s="10"/>
      <c r="AZ5" s="18"/>
      <c r="BA5" s="18"/>
      <c r="BB5" s="19"/>
      <c r="BC5" s="19"/>
      <c r="BD5" s="19"/>
      <c r="BE5" s="9"/>
      <c r="BF5" s="9"/>
      <c r="BG5" s="9"/>
      <c r="BH5" s="9"/>
      <c r="BI5" s="9"/>
      <c r="BJ5" s="9"/>
      <c r="BK5" s="9"/>
      <c r="BL5" s="9"/>
      <c r="BM5" s="3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3"/>
      <c r="CG5" s="3"/>
      <c r="CH5" s="3"/>
      <c r="CI5" s="3"/>
      <c r="CJ5" s="3"/>
      <c r="CK5" s="3"/>
      <c r="CL5" s="3"/>
      <c r="CM5" s="3"/>
    </row>
    <row r="6" spans="1:91" ht="15" customHeight="1">
      <c r="A6" s="1"/>
      <c r="B6" s="37" t="s">
        <v>4</v>
      </c>
      <c r="C6" s="38">
        <v>46</v>
      </c>
      <c r="D6" s="39">
        <v>0</v>
      </c>
      <c r="E6" s="40" t="s">
        <v>142</v>
      </c>
      <c r="F6" s="28"/>
      <c r="G6" s="41" t="s">
        <v>0</v>
      </c>
      <c r="H6" s="325">
        <f ca="1">NOW()</f>
        <v>39994.48921111111</v>
      </c>
      <c r="I6" s="326"/>
      <c r="J6" s="1"/>
      <c r="K6" s="1"/>
      <c r="L6" s="1"/>
      <c r="M6" s="1"/>
      <c r="O6" s="1"/>
      <c r="P6" s="1"/>
      <c r="Q6" s="1"/>
      <c r="R6" s="42">
        <f aca="true" t="shared" si="4" ref="R6:R69">R5+TIME(0,$C$13,0)</f>
        <v>39994.56282222222</v>
      </c>
      <c r="S6" s="149">
        <f t="shared" si="3"/>
        <v>21600978</v>
      </c>
      <c r="T6" s="149"/>
      <c r="U6" s="36">
        <f aca="true" t="shared" si="5" ref="U6:U69">U5+1</f>
        <v>2</v>
      </c>
      <c r="V6" s="2"/>
      <c r="W6" s="3"/>
      <c r="X6" s="3"/>
      <c r="Y6" s="3"/>
      <c r="Z6" s="3"/>
      <c r="AA6" s="4"/>
      <c r="AB6" s="3"/>
      <c r="AC6" s="13"/>
      <c r="AD6" s="13"/>
      <c r="AE6" s="15" t="s">
        <v>65</v>
      </c>
      <c r="AF6" s="26">
        <f>AN9/AN17</f>
        <v>0.2540402608449107</v>
      </c>
      <c r="AG6" s="14" t="s">
        <v>73</v>
      </c>
      <c r="AH6" s="14">
        <v>5</v>
      </c>
      <c r="AI6" s="15" t="s">
        <v>62</v>
      </c>
      <c r="AJ6" s="14">
        <f>E27</f>
        <v>47</v>
      </c>
      <c r="AK6" s="14">
        <v>200000</v>
      </c>
      <c r="AL6" s="14">
        <f aca="true" t="shared" si="6" ref="AL6:AL15">IF(AK6="NO","NO",IF(AJ6&gt;0,AK6+(AK6*0.1)*AJ6,AK6))</f>
        <v>1140000</v>
      </c>
      <c r="AM6" s="14">
        <v>10</v>
      </c>
      <c r="AN6" s="14">
        <v>0</v>
      </c>
      <c r="AO6" s="14">
        <f t="shared" si="1"/>
        <v>470</v>
      </c>
      <c r="AP6" s="14">
        <f>M27</f>
        <v>0</v>
      </c>
      <c r="AQ6" s="14">
        <f>K27</f>
        <v>0</v>
      </c>
      <c r="AR6" s="14" t="str">
        <f>N27</f>
        <v>Restrict</v>
      </c>
      <c r="AS6" s="14">
        <f>INDEX(AP2:AR16,MATCH(MIN(AR2:AR16),AR2:AR16,0),1)</f>
        <v>12</v>
      </c>
      <c r="AT6" s="8">
        <f t="shared" si="0"/>
        <v>5</v>
      </c>
      <c r="AU6" s="4"/>
      <c r="AV6" s="3"/>
      <c r="AW6" s="9"/>
      <c r="AX6" s="10"/>
      <c r="AY6" s="10"/>
      <c r="AZ6" s="18"/>
      <c r="BA6" s="18"/>
      <c r="BB6" s="19"/>
      <c r="BC6" s="19"/>
      <c r="BD6" s="19"/>
      <c r="BE6" s="43"/>
      <c r="BF6" s="9"/>
      <c r="BG6" s="9"/>
      <c r="BH6" s="9"/>
      <c r="BI6" s="9"/>
      <c r="BJ6" s="9"/>
      <c r="BK6" s="9"/>
      <c r="BL6" s="9"/>
      <c r="BM6" s="3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3"/>
      <c r="CG6" s="3"/>
      <c r="CH6" s="3"/>
      <c r="CI6" s="3"/>
      <c r="CJ6" s="3"/>
      <c r="CK6" s="3"/>
      <c r="CL6" s="3"/>
      <c r="CM6" s="3"/>
    </row>
    <row r="7" spans="1:91" ht="15" customHeight="1">
      <c r="A7" s="1"/>
      <c r="B7" s="44"/>
      <c r="C7" s="28"/>
      <c r="D7" s="28"/>
      <c r="F7" s="28"/>
      <c r="G7" s="45" t="s">
        <v>49</v>
      </c>
      <c r="H7" s="327">
        <f>TIME(0,C6,D6)</f>
        <v>0.03194444444444445</v>
      </c>
      <c r="I7" s="328"/>
      <c r="J7" s="1"/>
      <c r="K7" s="1"/>
      <c r="L7" s="1"/>
      <c r="M7" s="1"/>
      <c r="O7" s="1"/>
      <c r="P7" s="1"/>
      <c r="Q7" s="1"/>
      <c r="R7" s="42">
        <f t="shared" si="4"/>
        <v>39994.60448888889</v>
      </c>
      <c r="S7" s="149">
        <f t="shared" si="3"/>
        <v>28578378</v>
      </c>
      <c r="T7" s="149"/>
      <c r="U7" s="36">
        <f t="shared" si="5"/>
        <v>3</v>
      </c>
      <c r="V7" s="2"/>
      <c r="W7" s="3"/>
      <c r="X7" s="3"/>
      <c r="Y7" s="3"/>
      <c r="Z7" s="3"/>
      <c r="AA7" s="4"/>
      <c r="AB7" s="3"/>
      <c r="AC7" s="13"/>
      <c r="AD7" s="13"/>
      <c r="AE7" s="15" t="s">
        <v>67</v>
      </c>
      <c r="AF7" s="26">
        <f>AN13/AN17</f>
        <v>0.4286929401757868</v>
      </c>
      <c r="AG7" s="14" t="s">
        <v>72</v>
      </c>
      <c r="AH7" s="14">
        <v>8</v>
      </c>
      <c r="AI7" s="15" t="s">
        <v>63</v>
      </c>
      <c r="AJ7" s="14">
        <f>E29</f>
        <v>45</v>
      </c>
      <c r="AK7" s="14">
        <v>540000</v>
      </c>
      <c r="AL7" s="14">
        <f t="shared" si="6"/>
        <v>2970000</v>
      </c>
      <c r="AM7" s="14">
        <f>F29</f>
        <v>16500</v>
      </c>
      <c r="AN7" s="14">
        <f t="shared" si="2"/>
        <v>742500</v>
      </c>
      <c r="AO7" s="14"/>
      <c r="AP7" s="14">
        <f>M29</f>
        <v>0</v>
      </c>
      <c r="AQ7" s="14">
        <f>K29</f>
        <v>0</v>
      </c>
      <c r="AR7" s="14">
        <f>N29</f>
        <v>18</v>
      </c>
      <c r="AS7" s="4"/>
      <c r="AT7" s="8">
        <f t="shared" si="0"/>
        <v>6</v>
      </c>
      <c r="AU7" s="4"/>
      <c r="AV7" s="3"/>
      <c r="AW7" s="9"/>
      <c r="AX7" s="10"/>
      <c r="AY7" s="10"/>
      <c r="AZ7" s="18"/>
      <c r="BA7" s="18"/>
      <c r="BB7" s="19"/>
      <c r="BC7" s="19"/>
      <c r="BD7" s="19"/>
      <c r="BE7" s="9"/>
      <c r="BF7" s="9"/>
      <c r="BG7" s="9"/>
      <c r="BH7" s="9"/>
      <c r="BI7" s="9"/>
      <c r="BJ7" s="9"/>
      <c r="BK7" s="9"/>
      <c r="BL7" s="9"/>
      <c r="BM7" s="3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3"/>
      <c r="CG7" s="3"/>
      <c r="CH7" s="3"/>
      <c r="CI7" s="3"/>
      <c r="CJ7" s="3"/>
      <c r="CK7" s="3"/>
      <c r="CL7" s="3"/>
      <c r="CM7" s="3"/>
    </row>
    <row r="8" spans="1:91" ht="15" customHeight="1">
      <c r="A8" s="1"/>
      <c r="B8" s="46" t="s">
        <v>6</v>
      </c>
      <c r="C8" s="28"/>
      <c r="D8" s="28"/>
      <c r="E8" s="28"/>
      <c r="F8" s="47"/>
      <c r="G8" s="47"/>
      <c r="H8" s="47"/>
      <c r="I8" s="48"/>
      <c r="J8" s="1"/>
      <c r="K8" s="1"/>
      <c r="L8" s="1"/>
      <c r="M8" s="1"/>
      <c r="O8" s="1"/>
      <c r="P8" s="1"/>
      <c r="Q8" s="1"/>
      <c r="R8" s="42">
        <f t="shared" si="4"/>
        <v>39994.64615555555</v>
      </c>
      <c r="S8" s="149">
        <f t="shared" si="3"/>
        <v>35555778</v>
      </c>
      <c r="T8" s="149"/>
      <c r="U8" s="36">
        <f t="shared" si="5"/>
        <v>4</v>
      </c>
      <c r="V8" s="2"/>
      <c r="W8" s="3"/>
      <c r="X8" s="3"/>
      <c r="Y8" s="3"/>
      <c r="Z8" s="3"/>
      <c r="AA8" s="4"/>
      <c r="AB8" s="4"/>
      <c r="AC8" s="13"/>
      <c r="AD8" s="13"/>
      <c r="AE8" s="15" t="s">
        <v>68</v>
      </c>
      <c r="AF8" s="26">
        <f>AN15/AN17</f>
        <v>0.1701162461015027</v>
      </c>
      <c r="AG8" s="14" t="s">
        <v>73</v>
      </c>
      <c r="AH8" s="14">
        <v>10</v>
      </c>
      <c r="AI8" s="15" t="s">
        <v>64</v>
      </c>
      <c r="AJ8" s="14">
        <f>E31</f>
        <v>9</v>
      </c>
      <c r="AK8" s="14">
        <v>560000</v>
      </c>
      <c r="AL8" s="14">
        <f t="shared" si="6"/>
        <v>1064000</v>
      </c>
      <c r="AM8" s="14">
        <v>15</v>
      </c>
      <c r="AN8" s="14">
        <v>0</v>
      </c>
      <c r="AO8" s="14">
        <f t="shared" si="1"/>
        <v>135</v>
      </c>
      <c r="AP8" s="14">
        <f>M31</f>
        <v>0</v>
      </c>
      <c r="AQ8" s="14">
        <f>K31</f>
        <v>0</v>
      </c>
      <c r="AR8" s="14" t="str">
        <f>N31</f>
        <v>Restrict</v>
      </c>
      <c r="AS8" s="4"/>
      <c r="AT8" s="8">
        <f t="shared" si="0"/>
        <v>7</v>
      </c>
      <c r="AU8" s="4"/>
      <c r="AV8" s="3"/>
      <c r="AW8" s="9"/>
      <c r="AX8" s="10"/>
      <c r="AY8" s="10"/>
      <c r="AZ8" s="18"/>
      <c r="BA8" s="18"/>
      <c r="BB8" s="19"/>
      <c r="BC8" s="19"/>
      <c r="BD8" s="19"/>
      <c r="BE8" s="9"/>
      <c r="BF8" s="9"/>
      <c r="BG8" s="9"/>
      <c r="BH8" s="9"/>
      <c r="BI8" s="9"/>
      <c r="BJ8" s="9"/>
      <c r="BK8" s="9"/>
      <c r="BL8" s="9"/>
      <c r="BM8" s="3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3"/>
      <c r="CG8" s="3"/>
      <c r="CH8" s="3"/>
      <c r="CI8" s="3"/>
      <c r="CJ8" s="3"/>
      <c r="CK8" s="3"/>
      <c r="CL8" s="3"/>
      <c r="CM8" s="3"/>
    </row>
    <row r="9" spans="1:91" ht="15" customHeight="1">
      <c r="A9" s="1"/>
      <c r="B9" s="49" t="s">
        <v>10</v>
      </c>
      <c r="C9" s="50">
        <v>35</v>
      </c>
      <c r="D9" s="28"/>
      <c r="E9" s="51" t="s">
        <v>7</v>
      </c>
      <c r="F9" s="28"/>
      <c r="G9" s="28"/>
      <c r="H9" s="319" t="s">
        <v>3</v>
      </c>
      <c r="I9" s="320"/>
      <c r="J9" s="1"/>
      <c r="K9" s="1"/>
      <c r="L9" s="1"/>
      <c r="M9" s="1"/>
      <c r="O9" s="1"/>
      <c r="P9" s="1"/>
      <c r="Q9" s="1"/>
      <c r="R9" s="42">
        <f t="shared" si="4"/>
        <v>39994.687822222215</v>
      </c>
      <c r="S9" s="149">
        <f t="shared" si="3"/>
        <v>42533178</v>
      </c>
      <c r="T9" s="149"/>
      <c r="U9" s="36">
        <f t="shared" si="5"/>
        <v>5</v>
      </c>
      <c r="V9" s="2"/>
      <c r="W9" s="3"/>
      <c r="X9" s="3"/>
      <c r="Y9" s="3"/>
      <c r="Z9" s="3"/>
      <c r="AA9" s="4"/>
      <c r="AB9" s="4"/>
      <c r="AC9" s="13"/>
      <c r="AD9" s="13"/>
      <c r="AE9" s="15" t="s">
        <v>71</v>
      </c>
      <c r="AF9" s="26">
        <f>AN16/AN17</f>
        <v>0</v>
      </c>
      <c r="AG9" s="14" t="s">
        <v>72</v>
      </c>
      <c r="AH9" s="14">
        <v>12</v>
      </c>
      <c r="AI9" s="15" t="s">
        <v>65</v>
      </c>
      <c r="AJ9" s="14">
        <f>E33</f>
        <v>40</v>
      </c>
      <c r="AK9" s="14">
        <v>2700000</v>
      </c>
      <c r="AL9" s="14">
        <f t="shared" si="6"/>
        <v>13500000</v>
      </c>
      <c r="AM9" s="14">
        <f>F33</f>
        <v>56000</v>
      </c>
      <c r="AN9" s="14">
        <f t="shared" si="2"/>
        <v>2240000</v>
      </c>
      <c r="AO9" s="14"/>
      <c r="AP9" s="14">
        <f>M33</f>
        <v>1</v>
      </c>
      <c r="AQ9" s="14">
        <f>K33</f>
        <v>5853822</v>
      </c>
      <c r="AR9" s="14">
        <f>N33</f>
        <v>24.107142857142858</v>
      </c>
      <c r="AS9" s="4"/>
      <c r="AT9" s="8">
        <f t="shared" si="0"/>
        <v>8</v>
      </c>
      <c r="AU9" s="4"/>
      <c r="AV9" s="3"/>
      <c r="AW9" s="9"/>
      <c r="AX9" s="10"/>
      <c r="AY9" s="10"/>
      <c r="AZ9" s="18"/>
      <c r="BA9" s="18"/>
      <c r="BB9" s="19"/>
      <c r="BC9" s="19"/>
      <c r="BD9" s="19"/>
      <c r="BE9" s="43"/>
      <c r="BF9" s="9"/>
      <c r="BG9" s="9"/>
      <c r="BH9" s="9"/>
      <c r="BI9" s="9"/>
      <c r="BJ9" s="9"/>
      <c r="BK9" s="9"/>
      <c r="BL9" s="9"/>
      <c r="BM9" s="3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3"/>
      <c r="CG9" s="3"/>
      <c r="CH9" s="3"/>
      <c r="CI9" s="3"/>
      <c r="CJ9" s="3"/>
      <c r="CK9" s="3"/>
      <c r="CL9" s="3"/>
      <c r="CM9" s="3"/>
    </row>
    <row r="10" spans="1:91" ht="15" customHeight="1">
      <c r="A10" s="1"/>
      <c r="B10" s="52" t="s">
        <v>197</v>
      </c>
      <c r="C10" s="53">
        <v>725</v>
      </c>
      <c r="D10" s="28"/>
      <c r="E10" s="54" t="s">
        <v>8</v>
      </c>
      <c r="F10" s="315">
        <v>7646178</v>
      </c>
      <c r="G10" s="316"/>
      <c r="H10" s="321">
        <f>F10+F11</f>
        <v>7646178</v>
      </c>
      <c r="I10" s="322"/>
      <c r="J10" s="1"/>
      <c r="K10" s="1"/>
      <c r="L10" s="1"/>
      <c r="M10" s="1"/>
      <c r="O10" s="1"/>
      <c r="P10" s="1"/>
      <c r="Q10" s="1"/>
      <c r="R10" s="42">
        <f t="shared" si="4"/>
        <v>39994.72948888888</v>
      </c>
      <c r="S10" s="149">
        <f t="shared" si="3"/>
        <v>49510578</v>
      </c>
      <c r="T10" s="149"/>
      <c r="U10" s="36">
        <f t="shared" si="5"/>
        <v>6</v>
      </c>
      <c r="V10" s="2"/>
      <c r="W10" s="3"/>
      <c r="X10" s="3"/>
      <c r="Y10" s="3"/>
      <c r="Z10" s="3"/>
      <c r="AA10" s="4"/>
      <c r="AB10" s="4"/>
      <c r="AC10" s="13"/>
      <c r="AD10" s="13"/>
      <c r="AE10" s="3"/>
      <c r="AF10" s="4"/>
      <c r="AG10" s="14" t="s">
        <v>73</v>
      </c>
      <c r="AH10" s="14">
        <v>15</v>
      </c>
      <c r="AI10" s="15" t="s">
        <v>66</v>
      </c>
      <c r="AJ10" s="14">
        <f>E35</f>
        <v>2</v>
      </c>
      <c r="AK10" s="14">
        <v>2800000</v>
      </c>
      <c r="AL10" s="14">
        <f t="shared" si="6"/>
        <v>3360000</v>
      </c>
      <c r="AM10" s="14">
        <v>32</v>
      </c>
      <c r="AN10" s="14">
        <v>0</v>
      </c>
      <c r="AO10" s="14">
        <f t="shared" si="1"/>
        <v>64</v>
      </c>
      <c r="AP10" s="14">
        <f>M35</f>
        <v>0</v>
      </c>
      <c r="AQ10" s="14">
        <f>K35</f>
        <v>0</v>
      </c>
      <c r="AR10" s="14" t="str">
        <f>N35</f>
        <v>Restrict</v>
      </c>
      <c r="AS10" s="4"/>
      <c r="AT10" s="8">
        <f t="shared" si="0"/>
        <v>9</v>
      </c>
      <c r="AU10" s="4"/>
      <c r="AV10" s="3"/>
      <c r="AW10" s="9"/>
      <c r="AX10" s="10"/>
      <c r="AY10" s="10"/>
      <c r="AZ10" s="18"/>
      <c r="BA10" s="18"/>
      <c r="BB10" s="19"/>
      <c r="BC10" s="19"/>
      <c r="BD10" s="19"/>
      <c r="BE10" s="9"/>
      <c r="BF10" s="9"/>
      <c r="BG10" s="9"/>
      <c r="BH10" s="9"/>
      <c r="BI10" s="9"/>
      <c r="BJ10" s="9"/>
      <c r="BK10" s="9"/>
      <c r="BL10" s="9"/>
      <c r="BM10" s="3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3"/>
      <c r="CG10" s="3"/>
      <c r="CH10" s="3"/>
      <c r="CI10" s="3"/>
      <c r="CJ10" s="3"/>
      <c r="CK10" s="3"/>
      <c r="CL10" s="3"/>
      <c r="CM10" s="3"/>
    </row>
    <row r="11" spans="1:91" ht="15" customHeight="1">
      <c r="A11" s="1"/>
      <c r="B11" s="55" t="s">
        <v>23</v>
      </c>
      <c r="C11" s="56" t="s">
        <v>56</v>
      </c>
      <c r="D11" s="28"/>
      <c r="E11" s="49" t="s">
        <v>9</v>
      </c>
      <c r="F11" s="311">
        <v>0</v>
      </c>
      <c r="G11" s="312"/>
      <c r="H11" s="313" t="s">
        <v>47</v>
      </c>
      <c r="I11" s="314"/>
      <c r="J11" s="1"/>
      <c r="K11" s="1"/>
      <c r="L11" s="1"/>
      <c r="M11" s="1"/>
      <c r="O11" s="1"/>
      <c r="P11" s="1"/>
      <c r="Q11" s="1"/>
      <c r="R11" s="42">
        <f t="shared" si="4"/>
        <v>39994.77115555554</v>
      </c>
      <c r="S11" s="149">
        <f t="shared" si="3"/>
        <v>56487978</v>
      </c>
      <c r="T11" s="149"/>
      <c r="U11" s="36">
        <f t="shared" si="5"/>
        <v>7</v>
      </c>
      <c r="V11" s="2"/>
      <c r="W11" s="3"/>
      <c r="X11" s="3"/>
      <c r="Y11" s="3"/>
      <c r="Z11" s="3"/>
      <c r="AA11" s="4"/>
      <c r="AB11" s="4"/>
      <c r="AC11" s="13"/>
      <c r="AD11" s="13"/>
      <c r="AE11" s="3"/>
      <c r="AF11" s="4"/>
      <c r="AG11" s="14" t="s">
        <v>74</v>
      </c>
      <c r="AH11" s="14">
        <v>18</v>
      </c>
      <c r="AI11" s="15" t="s">
        <v>70</v>
      </c>
      <c r="AJ11" s="14">
        <f>E37</f>
        <v>0</v>
      </c>
      <c r="AK11" s="14">
        <v>8000000</v>
      </c>
      <c r="AL11" s="14">
        <f>IF(E37&gt;0,"Limit",8000000)</f>
        <v>8000000</v>
      </c>
      <c r="AM11" s="14" t="str">
        <f>F37</f>
        <v>Energy +2</v>
      </c>
      <c r="AN11" s="14">
        <v>0</v>
      </c>
      <c r="AO11" s="14"/>
      <c r="AP11" s="14">
        <f>M37</f>
        <v>1</v>
      </c>
      <c r="AQ11" s="14">
        <f>K37</f>
        <v>353822</v>
      </c>
      <c r="AR11" s="14" t="str">
        <f>N37</f>
        <v>Restrict</v>
      </c>
      <c r="AS11" s="4"/>
      <c r="AT11" s="8">
        <f t="shared" si="0"/>
        <v>10</v>
      </c>
      <c r="AU11" s="4"/>
      <c r="AV11" s="3"/>
      <c r="AW11" s="9"/>
      <c r="AX11" s="10"/>
      <c r="AY11" s="10"/>
      <c r="AZ11" s="18"/>
      <c r="BA11" s="18"/>
      <c r="BB11" s="19"/>
      <c r="BC11" s="19"/>
      <c r="BD11" s="19"/>
      <c r="BE11" s="9"/>
      <c r="BF11" s="9"/>
      <c r="BG11" s="9"/>
      <c r="BH11" s="9"/>
      <c r="BI11" s="9"/>
      <c r="BJ11" s="9"/>
      <c r="BK11" s="9"/>
      <c r="BL11" s="9"/>
      <c r="BM11" s="3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3"/>
      <c r="CG11" s="3"/>
      <c r="CH11" s="3"/>
      <c r="CI11" s="3"/>
      <c r="CJ11" s="3"/>
      <c r="CK11" s="3"/>
      <c r="CL11" s="3"/>
      <c r="CM11" s="3"/>
    </row>
    <row r="12" spans="1:91" ht="15" customHeight="1">
      <c r="A12" s="1"/>
      <c r="B12" s="57" t="s">
        <v>198</v>
      </c>
      <c r="C12" s="58">
        <v>550</v>
      </c>
      <c r="D12" s="28"/>
      <c r="E12" s="59" t="s">
        <v>11</v>
      </c>
      <c r="F12" s="315">
        <v>1840100</v>
      </c>
      <c r="G12" s="316"/>
      <c r="H12" s="28"/>
      <c r="I12" s="48"/>
      <c r="J12" s="1"/>
      <c r="K12" s="1"/>
      <c r="L12" s="1"/>
      <c r="M12" s="1"/>
      <c r="O12" s="1"/>
      <c r="P12" s="1"/>
      <c r="Q12" s="1"/>
      <c r="R12" s="42">
        <f t="shared" si="4"/>
        <v>39994.81282222221</v>
      </c>
      <c r="S12" s="149">
        <f t="shared" si="3"/>
        <v>63465378</v>
      </c>
      <c r="T12" s="149"/>
      <c r="U12" s="36">
        <f t="shared" si="5"/>
        <v>8</v>
      </c>
      <c r="V12" s="2"/>
      <c r="W12" s="3"/>
      <c r="X12" s="3"/>
      <c r="Y12" s="3"/>
      <c r="Z12" s="3"/>
      <c r="AA12" s="4"/>
      <c r="AB12" s="4"/>
      <c r="AC12" s="13"/>
      <c r="AD12" s="13"/>
      <c r="AE12" s="3"/>
      <c r="AF12" s="4"/>
      <c r="AG12" s="14" t="s">
        <v>73</v>
      </c>
      <c r="AH12" s="14">
        <v>22</v>
      </c>
      <c r="AI12" s="15" t="s">
        <v>123</v>
      </c>
      <c r="AJ12" s="14">
        <f>E39</f>
        <v>0</v>
      </c>
      <c r="AK12" s="14">
        <v>10000000</v>
      </c>
      <c r="AL12" s="14">
        <f t="shared" si="6"/>
        <v>10000000</v>
      </c>
      <c r="AM12" s="14">
        <v>50</v>
      </c>
      <c r="AN12" s="14">
        <f t="shared" si="2"/>
        <v>0</v>
      </c>
      <c r="AO12" s="14">
        <f t="shared" si="1"/>
        <v>0</v>
      </c>
      <c r="AP12" s="14">
        <f>M39</f>
        <v>1</v>
      </c>
      <c r="AQ12" s="14">
        <f>K39</f>
        <v>2353822</v>
      </c>
      <c r="AR12" s="14" t="str">
        <f>N39</f>
        <v>Restrict</v>
      </c>
      <c r="AS12" s="4"/>
      <c r="AT12" s="8">
        <f t="shared" si="0"/>
        <v>11</v>
      </c>
      <c r="AU12" s="4"/>
      <c r="AV12" s="3"/>
      <c r="AW12" s="9"/>
      <c r="AX12" s="10"/>
      <c r="AY12" s="10"/>
      <c r="AZ12" s="18"/>
      <c r="BA12" s="18"/>
      <c r="BB12" s="19"/>
      <c r="BC12" s="19"/>
      <c r="BD12" s="19"/>
      <c r="BE12" s="43"/>
      <c r="BF12" s="9"/>
      <c r="BG12" s="9"/>
      <c r="BH12" s="9"/>
      <c r="BI12" s="9"/>
      <c r="BJ12" s="9"/>
      <c r="BK12" s="9"/>
      <c r="BL12" s="9"/>
      <c r="BM12" s="3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3"/>
      <c r="CG12" s="3"/>
      <c r="CH12" s="3"/>
      <c r="CI12" s="3"/>
      <c r="CJ12" s="3"/>
      <c r="CK12" s="3"/>
      <c r="CL12" s="3"/>
      <c r="CM12" s="3"/>
    </row>
    <row r="13" spans="1:91" ht="15" customHeight="1">
      <c r="A13" s="1"/>
      <c r="B13" s="60" t="s">
        <v>24</v>
      </c>
      <c r="C13" s="61">
        <v>60</v>
      </c>
      <c r="D13" s="62"/>
      <c r="E13" s="63" t="s">
        <v>45</v>
      </c>
      <c r="F13" s="317">
        <v>0</v>
      </c>
      <c r="G13" s="318"/>
      <c r="H13" s="28"/>
      <c r="I13" s="48"/>
      <c r="J13" s="1"/>
      <c r="K13" s="1"/>
      <c r="L13" s="1"/>
      <c r="M13" s="1"/>
      <c r="O13" s="1"/>
      <c r="P13" s="1"/>
      <c r="Q13" s="1"/>
      <c r="R13" s="42">
        <f t="shared" si="4"/>
        <v>39994.85448888887</v>
      </c>
      <c r="S13" s="149">
        <f t="shared" si="3"/>
        <v>70442778</v>
      </c>
      <c r="T13" s="149"/>
      <c r="U13" s="36">
        <f t="shared" si="5"/>
        <v>9</v>
      </c>
      <c r="V13" s="2"/>
      <c r="W13" s="3"/>
      <c r="X13" s="3"/>
      <c r="Y13" s="3"/>
      <c r="Z13" s="3"/>
      <c r="AA13" s="4"/>
      <c r="AB13" s="4"/>
      <c r="AC13" s="4"/>
      <c r="AD13" s="3"/>
      <c r="AE13" s="3"/>
      <c r="AF13" s="3"/>
      <c r="AG13" s="8" t="s">
        <v>72</v>
      </c>
      <c r="AH13" s="64">
        <v>25</v>
      </c>
      <c r="AI13" s="15" t="s">
        <v>67</v>
      </c>
      <c r="AJ13" s="8">
        <f>E41</f>
        <v>14</v>
      </c>
      <c r="AK13" s="14">
        <v>20000000</v>
      </c>
      <c r="AL13" s="14">
        <f t="shared" si="6"/>
        <v>48000000</v>
      </c>
      <c r="AM13" s="65">
        <f>F41</f>
        <v>270000</v>
      </c>
      <c r="AN13" s="14">
        <f t="shared" si="2"/>
        <v>3780000</v>
      </c>
      <c r="AO13" s="14"/>
      <c r="AP13" s="14">
        <f>M41</f>
        <v>6</v>
      </c>
      <c r="AQ13" s="14">
        <f>K40</f>
        <v>0</v>
      </c>
      <c r="AR13" s="16">
        <f>N41</f>
        <v>17.77777777777778</v>
      </c>
      <c r="AS13" s="4"/>
      <c r="AT13" s="8">
        <f t="shared" si="0"/>
        <v>12</v>
      </c>
      <c r="AU13" s="4"/>
      <c r="AV13" s="3"/>
      <c r="AW13" s="9"/>
      <c r="AX13" s="10"/>
      <c r="AY13" s="10"/>
      <c r="AZ13" s="18"/>
      <c r="BA13" s="18"/>
      <c r="BB13" s="19"/>
      <c r="BC13" s="19"/>
      <c r="BD13" s="19"/>
      <c r="BE13" s="9"/>
      <c r="BF13" s="9"/>
      <c r="BG13" s="9"/>
      <c r="BH13" s="9"/>
      <c r="BI13" s="9"/>
      <c r="BJ13" s="9"/>
      <c r="BK13" s="9"/>
      <c r="BL13" s="9"/>
      <c r="BM13" s="3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3"/>
      <c r="CG13" s="3"/>
      <c r="CH13" s="3"/>
      <c r="CI13" s="3"/>
      <c r="CJ13" s="3"/>
      <c r="CK13" s="3"/>
      <c r="CL13" s="3"/>
      <c r="CM13" s="3"/>
    </row>
    <row r="14" spans="1:91" ht="15" customHeight="1">
      <c r="A14" s="1"/>
      <c r="E14" s="66"/>
      <c r="F14" s="66"/>
      <c r="G14" s="66"/>
      <c r="H14" s="66"/>
      <c r="I14" s="66"/>
      <c r="J14" s="1"/>
      <c r="K14" s="1"/>
      <c r="L14" s="1"/>
      <c r="M14" s="1"/>
      <c r="O14" s="1"/>
      <c r="P14" s="1"/>
      <c r="Q14" s="1"/>
      <c r="R14" s="42">
        <f t="shared" si="4"/>
        <v>39994.896155555536</v>
      </c>
      <c r="S14" s="149">
        <f t="shared" si="3"/>
        <v>77420178</v>
      </c>
      <c r="T14" s="149"/>
      <c r="U14" s="36">
        <f t="shared" si="5"/>
        <v>10</v>
      </c>
      <c r="V14" s="2"/>
      <c r="W14" s="3"/>
      <c r="X14" s="3"/>
      <c r="Y14" s="3"/>
      <c r="Z14" s="3"/>
      <c r="AA14" s="4"/>
      <c r="AB14" s="4"/>
      <c r="AC14" s="4"/>
      <c r="AD14" s="3"/>
      <c r="AE14" s="3"/>
      <c r="AF14" s="3"/>
      <c r="AG14" s="8" t="s">
        <v>74</v>
      </c>
      <c r="AH14" s="64">
        <v>30</v>
      </c>
      <c r="AI14" s="15" t="s">
        <v>69</v>
      </c>
      <c r="AJ14" s="8">
        <f>E43</f>
        <v>0</v>
      </c>
      <c r="AK14" s="14">
        <v>30000000</v>
      </c>
      <c r="AL14" s="14">
        <f>IF(E43&gt;0,"Limit",30000000)</f>
        <v>30000000</v>
      </c>
      <c r="AM14" s="67" t="str">
        <f>F43</f>
        <v>Energy +3</v>
      </c>
      <c r="AN14" s="14">
        <v>0</v>
      </c>
      <c r="AO14" s="14"/>
      <c r="AP14" s="14">
        <f>M43</f>
        <v>4</v>
      </c>
      <c r="AQ14" s="14">
        <f>K41</f>
        <v>40353822</v>
      </c>
      <c r="AR14" s="16" t="str">
        <f>N43</f>
        <v>Restrict</v>
      </c>
      <c r="AS14" s="4"/>
      <c r="AT14" s="8">
        <f t="shared" si="0"/>
        <v>13</v>
      </c>
      <c r="AU14" s="4"/>
      <c r="AV14" s="3"/>
      <c r="AW14" s="9"/>
      <c r="AX14" s="10"/>
      <c r="AY14" s="10"/>
      <c r="AZ14" s="18"/>
      <c r="BA14" s="18"/>
      <c r="BB14" s="19"/>
      <c r="BC14" s="19"/>
      <c r="BD14" s="19"/>
      <c r="BE14" s="9"/>
      <c r="BF14" s="9"/>
      <c r="BG14" s="9"/>
      <c r="BH14" s="9"/>
      <c r="BI14" s="9"/>
      <c r="BJ14" s="9"/>
      <c r="BK14" s="9"/>
      <c r="BL14" s="9"/>
      <c r="BM14" s="3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3"/>
      <c r="CG14" s="3"/>
      <c r="CH14" s="3"/>
      <c r="CI14" s="3"/>
      <c r="CJ14" s="3"/>
      <c r="CK14" s="3"/>
      <c r="CL14" s="3"/>
      <c r="CM14" s="3"/>
    </row>
    <row r="15" spans="1:91" ht="15" customHeight="1">
      <c r="A15" s="1"/>
      <c r="B15" s="68" t="str">
        <f>"You are a level "&amp;C9&amp;" playing "&amp;B2&amp;".  You get cash every "&amp;C13&amp;" minutes."</f>
        <v>You are a level 35 playing World War.  You get cash every 60 minutes.</v>
      </c>
      <c r="C15" s="1"/>
      <c r="D15" s="1"/>
      <c r="E15" s="1"/>
      <c r="F15" s="1"/>
      <c r="G15" s="1"/>
      <c r="H15" s="1"/>
      <c r="I15" s="1"/>
      <c r="J15" s="1"/>
      <c r="M15" s="69"/>
      <c r="N15" s="69"/>
      <c r="O15" s="70"/>
      <c r="P15" s="70"/>
      <c r="Q15" s="71"/>
      <c r="R15" s="42">
        <f t="shared" si="4"/>
        <v>39994.9378222222</v>
      </c>
      <c r="S15" s="149">
        <f t="shared" si="3"/>
        <v>84397578</v>
      </c>
      <c r="T15" s="149"/>
      <c r="U15" s="36">
        <f t="shared" si="5"/>
        <v>11</v>
      </c>
      <c r="V15" s="2"/>
      <c r="W15" s="3"/>
      <c r="X15" s="3"/>
      <c r="Y15" s="3"/>
      <c r="Z15" s="3"/>
      <c r="AA15" s="4"/>
      <c r="AB15" s="4"/>
      <c r="AC15" s="4"/>
      <c r="AD15" s="3"/>
      <c r="AE15" s="3"/>
      <c r="AF15" s="3"/>
      <c r="AG15" s="8" t="s">
        <v>72</v>
      </c>
      <c r="AH15" s="64">
        <v>35</v>
      </c>
      <c r="AI15" s="15" t="s">
        <v>68</v>
      </c>
      <c r="AJ15" s="8">
        <f>E45</f>
        <v>3</v>
      </c>
      <c r="AK15" s="14">
        <v>66000000</v>
      </c>
      <c r="AL15" s="14">
        <f t="shared" si="6"/>
        <v>85800000</v>
      </c>
      <c r="AM15" s="65">
        <f>F45</f>
        <v>500000</v>
      </c>
      <c r="AN15" s="14">
        <f t="shared" si="2"/>
        <v>1500000</v>
      </c>
      <c r="AO15" s="14"/>
      <c r="AP15" s="14">
        <f>M45</f>
        <v>12</v>
      </c>
      <c r="AQ15" s="14">
        <f>K42</f>
        <v>0</v>
      </c>
      <c r="AR15" s="16">
        <f>N45</f>
        <v>17.16</v>
      </c>
      <c r="AS15" s="4"/>
      <c r="AT15" s="8">
        <f t="shared" si="0"/>
        <v>14</v>
      </c>
      <c r="AU15" s="4"/>
      <c r="AV15" s="3"/>
      <c r="AW15" s="9"/>
      <c r="AX15" s="10"/>
      <c r="AY15" s="10"/>
      <c r="AZ15" s="18"/>
      <c r="BA15" s="18"/>
      <c r="BB15" s="19"/>
      <c r="BC15" s="19"/>
      <c r="BD15" s="19"/>
      <c r="BE15" s="9"/>
      <c r="BF15" s="9"/>
      <c r="BG15" s="9"/>
      <c r="BH15" s="9"/>
      <c r="BI15" s="9"/>
      <c r="BJ15" s="9"/>
      <c r="BK15" s="9"/>
      <c r="BL15" s="9"/>
      <c r="BM15" s="3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3"/>
      <c r="CG15" s="3"/>
      <c r="CH15" s="3"/>
      <c r="CI15" s="3"/>
      <c r="CJ15" s="3"/>
      <c r="CK15" s="3"/>
      <c r="CL15" s="3"/>
      <c r="CM15" s="3"/>
    </row>
    <row r="16" spans="1:91" ht="15" customHeight="1" thickBot="1">
      <c r="A16" s="1"/>
      <c r="B16" s="72">
        <f>IF(F12&gt;AN17,"ERROR - UPKEEP GREATER THAN INCOME. NEGATIVE INCOME","")</f>
      </c>
      <c r="C16" s="1"/>
      <c r="D16" s="1"/>
      <c r="E16" s="1"/>
      <c r="F16" s="1"/>
      <c r="G16" s="1"/>
      <c r="H16" s="1"/>
      <c r="I16" s="1"/>
      <c r="O16" s="70"/>
      <c r="P16" s="70"/>
      <c r="Q16" s="71"/>
      <c r="R16" s="42">
        <f t="shared" si="4"/>
        <v>39994.979488888865</v>
      </c>
      <c r="S16" s="149">
        <f t="shared" si="3"/>
        <v>91374978</v>
      </c>
      <c r="T16" s="149"/>
      <c r="U16" s="36">
        <f t="shared" si="5"/>
        <v>12</v>
      </c>
      <c r="V16" s="2"/>
      <c r="W16" s="3"/>
      <c r="X16" s="3"/>
      <c r="Y16" s="3"/>
      <c r="Z16" s="3"/>
      <c r="AA16" s="4"/>
      <c r="AB16" s="4"/>
      <c r="AC16" s="4"/>
      <c r="AD16" s="3"/>
      <c r="AE16" s="3"/>
      <c r="AF16" s="3"/>
      <c r="AG16" s="8" t="s">
        <v>72</v>
      </c>
      <c r="AH16" s="64">
        <v>40</v>
      </c>
      <c r="AI16" s="15" t="s">
        <v>71</v>
      </c>
      <c r="AJ16" s="8">
        <f>E47</f>
        <v>0</v>
      </c>
      <c r="AK16" s="6">
        <v>100000000</v>
      </c>
      <c r="AL16" s="14">
        <f>IF(AK16="NO","NO",IF(AJ16&gt;0,AK16+(AK16*0.1)*AJ16,AK16))</f>
        <v>100000000</v>
      </c>
      <c r="AM16" s="67">
        <f>F47</f>
        <v>700000</v>
      </c>
      <c r="AN16" s="14">
        <f t="shared" si="2"/>
        <v>0</v>
      </c>
      <c r="AO16" s="14"/>
      <c r="AP16" s="14">
        <f>M47</f>
        <v>14</v>
      </c>
      <c r="AQ16" s="14">
        <f>K43</f>
        <v>22353822</v>
      </c>
      <c r="AR16" s="16" t="str">
        <f>N47</f>
        <v>Restrict</v>
      </c>
      <c r="AS16" s="4"/>
      <c r="AT16" s="8">
        <f t="shared" si="0"/>
        <v>15</v>
      </c>
      <c r="AU16" s="4"/>
      <c r="AV16" s="3"/>
      <c r="AW16" s="9"/>
      <c r="AX16" s="10"/>
      <c r="AY16" s="10"/>
      <c r="AZ16" s="18"/>
      <c r="BA16" s="18"/>
      <c r="BB16" s="19"/>
      <c r="BC16" s="19"/>
      <c r="BD16" s="19"/>
      <c r="BE16" s="9"/>
      <c r="BF16" s="9"/>
      <c r="BG16" s="9"/>
      <c r="BH16" s="9"/>
      <c r="BI16" s="9"/>
      <c r="BJ16" s="9"/>
      <c r="BK16" s="9"/>
      <c r="BL16" s="9"/>
      <c r="BM16" s="3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3"/>
      <c r="CG16" s="3"/>
      <c r="CH16" s="3"/>
      <c r="CI16" s="3"/>
      <c r="CJ16" s="3"/>
      <c r="CK16" s="3"/>
      <c r="CL16" s="3"/>
      <c r="CM16" s="3"/>
    </row>
    <row r="17" spans="1:91" ht="15" customHeight="1" thickTop="1">
      <c r="A17" s="1"/>
      <c r="B17" s="301" t="s">
        <v>12</v>
      </c>
      <c r="C17" s="302"/>
      <c r="D17" s="47"/>
      <c r="E17" s="47"/>
      <c r="F17" s="1"/>
      <c r="G17" s="305" t="s">
        <v>220</v>
      </c>
      <c r="H17" s="306"/>
      <c r="I17" s="306"/>
      <c r="J17" s="73" t="s">
        <v>200</v>
      </c>
      <c r="K17" s="307" t="s">
        <v>79</v>
      </c>
      <c r="L17" s="308"/>
      <c r="M17" s="309" t="s">
        <v>14</v>
      </c>
      <c r="N17" s="310"/>
      <c r="O17" s="1"/>
      <c r="P17" s="74"/>
      <c r="Q17" s="75"/>
      <c r="R17" s="42">
        <f t="shared" si="4"/>
        <v>39995.02115555553</v>
      </c>
      <c r="S17" s="149">
        <f t="shared" si="3"/>
        <v>98352378</v>
      </c>
      <c r="T17" s="149"/>
      <c r="U17" s="36">
        <f>U16+1</f>
        <v>13</v>
      </c>
      <c r="V17" s="2"/>
      <c r="W17" s="3"/>
      <c r="X17" s="3"/>
      <c r="Y17" s="3"/>
      <c r="Z17" s="3"/>
      <c r="AA17" s="4"/>
      <c r="AB17" s="4"/>
      <c r="AC17" s="4"/>
      <c r="AD17" s="4"/>
      <c r="AE17" s="4"/>
      <c r="AF17" s="4"/>
      <c r="AG17" s="4"/>
      <c r="AH17" s="3"/>
      <c r="AI17" s="3"/>
      <c r="AJ17" s="4"/>
      <c r="AK17" s="3"/>
      <c r="AL17" s="4"/>
      <c r="AM17" s="3"/>
      <c r="AN17" s="14">
        <f>SUM(AN2:AN16)</f>
        <v>8817500</v>
      </c>
      <c r="AO17" s="14">
        <f>SUM(AO2:AO16)</f>
        <v>969</v>
      </c>
      <c r="AP17" s="3"/>
      <c r="AQ17" s="3"/>
      <c r="AR17" s="3"/>
      <c r="AS17" s="3"/>
      <c r="AT17" s="8">
        <f t="shared" si="0"/>
        <v>16</v>
      </c>
      <c r="AU17" s="3"/>
      <c r="AV17" s="3"/>
      <c r="AW17" s="76"/>
      <c r="AX17" s="9"/>
      <c r="AY17" s="9"/>
      <c r="AZ17" s="9"/>
      <c r="BA17" s="9"/>
      <c r="BB17" s="9"/>
      <c r="BC17" s="43"/>
      <c r="BD17" s="43"/>
      <c r="BE17" s="43"/>
      <c r="BF17" s="9"/>
      <c r="BG17" s="9"/>
      <c r="BH17" s="9"/>
      <c r="BI17" s="9"/>
      <c r="BJ17" s="9"/>
      <c r="BK17" s="9"/>
      <c r="BL17" s="9"/>
      <c r="BM17" s="3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3"/>
      <c r="CG17" s="3"/>
      <c r="CH17" s="3"/>
      <c r="CI17" s="3"/>
      <c r="CJ17" s="3"/>
      <c r="CK17" s="3"/>
      <c r="CL17" s="3"/>
      <c r="CM17" s="3"/>
    </row>
    <row r="18" spans="1:92" ht="15" customHeight="1" thickBot="1">
      <c r="A18" s="1"/>
      <c r="B18" s="303"/>
      <c r="C18" s="304"/>
      <c r="D18" s="77" t="s">
        <v>48</v>
      </c>
      <c r="E18" s="78" t="s">
        <v>13</v>
      </c>
      <c r="F18" s="299" t="s">
        <v>131</v>
      </c>
      <c r="G18" s="299"/>
      <c r="H18" s="299" t="s">
        <v>16</v>
      </c>
      <c r="I18" s="299"/>
      <c r="J18" s="79" t="s">
        <v>171</v>
      </c>
      <c r="K18" s="299" t="s">
        <v>22</v>
      </c>
      <c r="L18" s="299"/>
      <c r="M18" s="78" t="s">
        <v>17</v>
      </c>
      <c r="N18" s="80" t="s">
        <v>18</v>
      </c>
      <c r="O18" s="205" t="s">
        <v>26</v>
      </c>
      <c r="P18" s="206"/>
      <c r="Q18" s="207"/>
      <c r="R18" s="42">
        <f t="shared" si="4"/>
        <v>39995.06282222219</v>
      </c>
      <c r="S18" s="149">
        <f t="shared" si="3"/>
        <v>105329778</v>
      </c>
      <c r="T18" s="149"/>
      <c r="U18" s="36">
        <f t="shared" si="5"/>
        <v>14</v>
      </c>
      <c r="V18" s="2"/>
      <c r="W18" s="3"/>
      <c r="X18" s="3"/>
      <c r="Y18" s="3"/>
      <c r="Z18" s="3"/>
      <c r="AA18" s="4"/>
      <c r="AB18" s="4"/>
      <c r="AC18" s="4"/>
      <c r="AD18" s="4"/>
      <c r="AE18" s="4"/>
      <c r="AF18" s="4"/>
      <c r="AG18" s="4"/>
      <c r="AH18" s="3"/>
      <c r="AI18" s="3"/>
      <c r="AJ18" s="4"/>
      <c r="AK18" s="3"/>
      <c r="AL18" s="4"/>
      <c r="AM18" s="3"/>
      <c r="AN18" s="14" t="s">
        <v>167</v>
      </c>
      <c r="AO18" s="14" t="s">
        <v>167</v>
      </c>
      <c r="AP18" s="3"/>
      <c r="AQ18" s="3"/>
      <c r="AR18" s="3"/>
      <c r="AS18" s="3"/>
      <c r="AT18" s="8">
        <f>AT17+1</f>
        <v>17</v>
      </c>
      <c r="AU18" s="3"/>
      <c r="AV18" s="3"/>
      <c r="AW18" s="9"/>
      <c r="AX18" s="9"/>
      <c r="AY18" s="9"/>
      <c r="AZ18" s="9"/>
      <c r="BA18" s="9"/>
      <c r="BB18" s="9"/>
      <c r="BC18" s="43"/>
      <c r="BD18" s="43"/>
      <c r="BE18" s="43"/>
      <c r="BF18" s="9"/>
      <c r="BG18" s="9"/>
      <c r="BH18" s="9"/>
      <c r="BI18" s="9"/>
      <c r="BJ18" s="9"/>
      <c r="BK18" s="9"/>
      <c r="BL18" s="9"/>
      <c r="BM18" s="3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3"/>
      <c r="CG18" s="3"/>
      <c r="CH18" s="3"/>
      <c r="CI18" s="3"/>
      <c r="CJ18" s="3"/>
      <c r="CK18" s="3"/>
      <c r="CL18" s="3"/>
      <c r="CM18" s="3"/>
      <c r="CN18" s="3"/>
    </row>
    <row r="19" spans="1:93" ht="15" customHeight="1" thickTop="1">
      <c r="A19" s="1"/>
      <c r="B19" s="123" t="s">
        <v>59</v>
      </c>
      <c r="C19" s="124"/>
      <c r="D19" s="264"/>
      <c r="E19" s="266">
        <v>100</v>
      </c>
      <c r="F19" s="300">
        <v>1000</v>
      </c>
      <c r="G19" s="153"/>
      <c r="H19" s="153">
        <f>AL2</f>
        <v>198000</v>
      </c>
      <c r="I19" s="153"/>
      <c r="J19" s="152">
        <v>1</v>
      </c>
      <c r="K19" s="153">
        <f>IF(H19&gt;$H$10,H19-$H$10,0)</f>
        <v>0</v>
      </c>
      <c r="L19" s="153"/>
      <c r="M19" s="226">
        <f>IF($P$19=0,"Infinite",ROUNDUP(K19/$P$19,0))</f>
        <v>0</v>
      </c>
      <c r="N19" s="262">
        <f>IF($M$17&lt;&gt;"Income","Restrict",IF($J$17="ON",IF($C$9&gt;=J19,(H19/F19)/10,"Restrict"),(H19/F19)/10))</f>
        <v>19.8</v>
      </c>
      <c r="O19" s="296" t="s">
        <v>19</v>
      </c>
      <c r="P19" s="297">
        <f>AN17-F12</f>
        <v>6977400</v>
      </c>
      <c r="Q19" s="298"/>
      <c r="R19" s="42">
        <f t="shared" si="4"/>
        <v>39995.10448888886</v>
      </c>
      <c r="S19" s="149">
        <f t="shared" si="3"/>
        <v>112307178</v>
      </c>
      <c r="T19" s="149"/>
      <c r="U19" s="36">
        <f t="shared" si="5"/>
        <v>15</v>
      </c>
      <c r="V19" s="2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3"/>
      <c r="AI19" s="4"/>
      <c r="AJ19" s="4"/>
      <c r="AK19" s="3"/>
      <c r="AL19" s="4"/>
      <c r="AM19" s="3"/>
      <c r="AN19" s="4"/>
      <c r="AO19" s="4"/>
      <c r="AP19" s="3"/>
      <c r="AQ19" s="3"/>
      <c r="AR19" s="3"/>
      <c r="AS19" s="3"/>
      <c r="AT19" s="8">
        <f>AT18+1</f>
        <v>18</v>
      </c>
      <c r="AU19" s="3"/>
      <c r="AV19" s="3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3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ht="15" customHeight="1">
      <c r="A20" s="1"/>
      <c r="B20" s="123"/>
      <c r="C20" s="124"/>
      <c r="D20" s="264"/>
      <c r="E20" s="266"/>
      <c r="F20" s="268"/>
      <c r="G20" s="135"/>
      <c r="H20" s="135"/>
      <c r="I20" s="135"/>
      <c r="J20" s="131"/>
      <c r="K20" s="135"/>
      <c r="L20" s="135"/>
      <c r="M20" s="139"/>
      <c r="N20" s="263"/>
      <c r="O20" s="285"/>
      <c r="P20" s="192"/>
      <c r="Q20" s="225"/>
      <c r="R20" s="42">
        <f t="shared" si="4"/>
        <v>39995.14615555552</v>
      </c>
      <c r="S20" s="149">
        <f t="shared" si="3"/>
        <v>119284578</v>
      </c>
      <c r="T20" s="149"/>
      <c r="U20" s="36">
        <f t="shared" si="5"/>
        <v>16</v>
      </c>
      <c r="V20" s="2"/>
      <c r="W20" s="3"/>
      <c r="X20" s="3"/>
      <c r="Y20" s="3"/>
      <c r="Z20" s="3"/>
      <c r="AA20" s="4"/>
      <c r="AB20" s="4"/>
      <c r="AC20" s="4"/>
      <c r="AD20" s="4"/>
      <c r="AE20" s="4"/>
      <c r="AF20" s="4"/>
      <c r="AG20" s="4"/>
      <c r="AH20" s="3"/>
      <c r="AI20" s="4"/>
      <c r="AJ20" s="4"/>
      <c r="AK20" s="8"/>
      <c r="AL20" s="81"/>
      <c r="AM20" s="3"/>
      <c r="AN20" s="4"/>
      <c r="AO20" s="4"/>
      <c r="AP20" s="3"/>
      <c r="AQ20" s="3"/>
      <c r="AR20" s="3"/>
      <c r="AS20" s="3"/>
      <c r="AT20" s="8">
        <f aca="true" t="shared" si="7" ref="AT20:AT61">AT19+1</f>
        <v>19</v>
      </c>
      <c r="AU20" s="3"/>
      <c r="AV20" s="3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ht="15" customHeight="1">
      <c r="A21" s="1"/>
      <c r="B21" s="123" t="s">
        <v>60</v>
      </c>
      <c r="C21" s="124"/>
      <c r="D21" s="264"/>
      <c r="E21" s="266">
        <v>100</v>
      </c>
      <c r="F21" s="281" t="s">
        <v>150</v>
      </c>
      <c r="G21" s="147"/>
      <c r="H21" s="146">
        <f>AL3</f>
        <v>330000</v>
      </c>
      <c r="I21" s="146"/>
      <c r="J21" s="145">
        <v>1</v>
      </c>
      <c r="K21" s="146">
        <f>IF(H21&gt;$H$10,H21-$H$10,0)</f>
        <v>0</v>
      </c>
      <c r="L21" s="146"/>
      <c r="M21" s="148">
        <f>IF(K21="NO","NO",IF($P$19=0,"Infinite",ROUNDUP(K21/$P$19,0)))</f>
        <v>0</v>
      </c>
      <c r="N21" s="262" t="str">
        <f>IF($M$17="Income","Restrict",IF($J$17="ON",IF($C$9&gt;=J21,(H21/3)/10000,"Restrict"),(H21/3)/10000))</f>
        <v>Restrict</v>
      </c>
      <c r="O21" s="285" t="s">
        <v>77</v>
      </c>
      <c r="P21" s="196">
        <f>AO17</f>
        <v>969</v>
      </c>
      <c r="Q21" s="200"/>
      <c r="R21" s="42">
        <f t="shared" si="4"/>
        <v>39995.187822222186</v>
      </c>
      <c r="S21" s="149">
        <f t="shared" si="3"/>
        <v>126261978</v>
      </c>
      <c r="T21" s="149"/>
      <c r="U21" s="36">
        <f t="shared" si="5"/>
        <v>17</v>
      </c>
      <c r="V21" s="2"/>
      <c r="W21" s="3"/>
      <c r="X21" s="3"/>
      <c r="Y21" s="3"/>
      <c r="Z21" s="3"/>
      <c r="AA21" s="4"/>
      <c r="AB21" s="4"/>
      <c r="AC21" s="4"/>
      <c r="AD21" s="4"/>
      <c r="AE21" s="4"/>
      <c r="AF21" s="4"/>
      <c r="AG21" s="4"/>
      <c r="AH21" s="3"/>
      <c r="AI21" s="4"/>
      <c r="AJ21" s="4"/>
      <c r="AK21" s="8"/>
      <c r="AL21" s="81"/>
      <c r="AM21" s="3"/>
      <c r="AN21" s="4"/>
      <c r="AO21" s="4"/>
      <c r="AP21" s="3"/>
      <c r="AQ21" s="3"/>
      <c r="AR21" s="3"/>
      <c r="AS21" s="3"/>
      <c r="AT21" s="8">
        <f t="shared" si="7"/>
        <v>20</v>
      </c>
      <c r="AU21" s="3"/>
      <c r="AV21" s="3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ht="15" customHeight="1">
      <c r="A22" s="1"/>
      <c r="B22" s="123"/>
      <c r="C22" s="124"/>
      <c r="D22" s="264"/>
      <c r="E22" s="266"/>
      <c r="F22" s="281"/>
      <c r="G22" s="147"/>
      <c r="H22" s="146"/>
      <c r="I22" s="146"/>
      <c r="J22" s="145"/>
      <c r="K22" s="146"/>
      <c r="L22" s="146"/>
      <c r="M22" s="148"/>
      <c r="N22" s="263"/>
      <c r="O22" s="285"/>
      <c r="P22" s="196"/>
      <c r="Q22" s="200"/>
      <c r="R22" s="42">
        <f t="shared" si="4"/>
        <v>39995.22948888885</v>
      </c>
      <c r="S22" s="149">
        <f t="shared" si="3"/>
        <v>133239378</v>
      </c>
      <c r="T22" s="149"/>
      <c r="U22" s="36">
        <f t="shared" si="5"/>
        <v>18</v>
      </c>
      <c r="V22" s="2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4"/>
      <c r="AH22" s="3"/>
      <c r="AI22" s="4"/>
      <c r="AJ22" s="4"/>
      <c r="AK22" s="8"/>
      <c r="AL22" s="81"/>
      <c r="AM22" s="3"/>
      <c r="AN22" s="4"/>
      <c r="AO22" s="4"/>
      <c r="AP22" s="3"/>
      <c r="AQ22" s="3"/>
      <c r="AR22" s="3"/>
      <c r="AS22" s="3"/>
      <c r="AT22" s="8">
        <f t="shared" si="7"/>
        <v>21</v>
      </c>
      <c r="AU22" s="3"/>
      <c r="AV22" s="3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3" ht="15" customHeight="1">
      <c r="A23" s="1"/>
      <c r="B23" s="123" t="s">
        <v>61</v>
      </c>
      <c r="C23" s="124"/>
      <c r="D23" s="264"/>
      <c r="E23" s="266">
        <v>70</v>
      </c>
      <c r="F23" s="268">
        <v>6500</v>
      </c>
      <c r="G23" s="135"/>
      <c r="H23" s="135">
        <f>AL4</f>
        <v>1200000</v>
      </c>
      <c r="I23" s="135"/>
      <c r="J23" s="131">
        <v>2</v>
      </c>
      <c r="K23" s="135">
        <f>IF(H23&gt;$H$10,H23-$H$10,0)</f>
        <v>0</v>
      </c>
      <c r="L23" s="135"/>
      <c r="M23" s="139">
        <f>IF(K23="NO","NO",IF($P$19=0,"Infinite",ROUNDUP(K23/$P$19,0)))</f>
        <v>0</v>
      </c>
      <c r="N23" s="262">
        <f>IF($M$17&lt;&gt;"Income","Restrict",IF($J$17="ON",IF($C$9&gt;=J23,(H23/F23)/10,"Restrict"),(H23/F23)/10))</f>
        <v>18.46153846153846</v>
      </c>
      <c r="O23" s="285" t="s">
        <v>170</v>
      </c>
      <c r="P23" s="196">
        <f>E25*1+E37*2+E43*3</f>
        <v>1</v>
      </c>
      <c r="Q23" s="200"/>
      <c r="R23" s="42">
        <f t="shared" si="4"/>
        <v>39995.271155555514</v>
      </c>
      <c r="S23" s="149">
        <f t="shared" si="3"/>
        <v>140216778</v>
      </c>
      <c r="T23" s="149"/>
      <c r="U23" s="36">
        <f t="shared" si="5"/>
        <v>19</v>
      </c>
      <c r="V23" s="2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4"/>
      <c r="AH23" s="3"/>
      <c r="AI23" s="4"/>
      <c r="AJ23" s="4"/>
      <c r="AK23" s="8"/>
      <c r="AL23" s="81"/>
      <c r="AM23" s="3"/>
      <c r="AN23" s="4"/>
      <c r="AO23" s="4"/>
      <c r="AP23" s="3"/>
      <c r="AQ23" s="3"/>
      <c r="AR23" s="3"/>
      <c r="AS23" s="3"/>
      <c r="AT23" s="8">
        <f t="shared" si="7"/>
        <v>22</v>
      </c>
      <c r="AU23" s="3"/>
      <c r="AV23" s="3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3" ht="15" customHeight="1">
      <c r="A24" s="1"/>
      <c r="B24" s="123"/>
      <c r="C24" s="124"/>
      <c r="D24" s="264"/>
      <c r="E24" s="266"/>
      <c r="F24" s="268"/>
      <c r="G24" s="135"/>
      <c r="H24" s="135"/>
      <c r="I24" s="135"/>
      <c r="J24" s="131"/>
      <c r="K24" s="135"/>
      <c r="L24" s="135"/>
      <c r="M24" s="139"/>
      <c r="N24" s="263"/>
      <c r="O24" s="285"/>
      <c r="P24" s="196"/>
      <c r="Q24" s="200"/>
      <c r="R24" s="42">
        <f t="shared" si="4"/>
        <v>39995.31282222218</v>
      </c>
      <c r="S24" s="149">
        <f t="shared" si="3"/>
        <v>147194178</v>
      </c>
      <c r="T24" s="149"/>
      <c r="U24" s="36">
        <f t="shared" si="5"/>
        <v>20</v>
      </c>
      <c r="V24" s="2"/>
      <c r="W24" s="3"/>
      <c r="X24" s="3"/>
      <c r="Y24" s="3"/>
      <c r="Z24" s="3"/>
      <c r="AA24" s="4"/>
      <c r="AB24" s="4"/>
      <c r="AC24" s="4"/>
      <c r="AD24" s="4"/>
      <c r="AE24" s="4"/>
      <c r="AF24" s="4"/>
      <c r="AG24" s="4"/>
      <c r="AH24" s="3"/>
      <c r="AI24" s="4"/>
      <c r="AJ24" s="4"/>
      <c r="AK24" s="8"/>
      <c r="AL24" s="81"/>
      <c r="AM24" s="3"/>
      <c r="AN24" s="4"/>
      <c r="AO24" s="4"/>
      <c r="AP24" s="3"/>
      <c r="AQ24" s="3"/>
      <c r="AR24" s="3"/>
      <c r="AS24" s="3"/>
      <c r="AT24" s="8">
        <f t="shared" si="7"/>
        <v>23</v>
      </c>
      <c r="AU24" s="3"/>
      <c r="AV24" s="3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3" ht="15" customHeight="1">
      <c r="A25" s="1"/>
      <c r="B25" s="123" t="s">
        <v>21</v>
      </c>
      <c r="C25" s="124"/>
      <c r="D25" s="264"/>
      <c r="E25" s="266">
        <v>1</v>
      </c>
      <c r="F25" s="281" t="s">
        <v>75</v>
      </c>
      <c r="G25" s="147"/>
      <c r="H25" s="146" t="str">
        <f>AL5</f>
        <v>Limit</v>
      </c>
      <c r="I25" s="146"/>
      <c r="J25" s="145">
        <v>3</v>
      </c>
      <c r="K25" s="146" t="str">
        <f>IF(H25="Limit","None",IF(H25&gt;$H$10,H25-$H$10,0))</f>
        <v>None</v>
      </c>
      <c r="L25" s="146"/>
      <c r="M25" s="148">
        <f>IF(H25="Limit",0,IF(K25="NO","NO",IF($P$19=0,"Infinite",ROUNDUP(K25/$P$19,0))))</f>
        <v>0</v>
      </c>
      <c r="N25" s="276" t="s">
        <v>78</v>
      </c>
      <c r="O25" s="285" t="s">
        <v>20</v>
      </c>
      <c r="P25" s="192" t="str">
        <f>AS2</f>
        <v>Military Lab</v>
      </c>
      <c r="Q25" s="225"/>
      <c r="R25" s="42">
        <f t="shared" si="4"/>
        <v>39995.35448888884</v>
      </c>
      <c r="S25" s="149">
        <f t="shared" si="3"/>
        <v>154171578</v>
      </c>
      <c r="T25" s="149"/>
      <c r="U25" s="36">
        <f t="shared" si="5"/>
        <v>21</v>
      </c>
      <c r="V25" s="2"/>
      <c r="W25" s="3"/>
      <c r="X25" s="3"/>
      <c r="Y25" s="3"/>
      <c r="Z25" s="3"/>
      <c r="AA25" s="4"/>
      <c r="AB25" s="4"/>
      <c r="AC25" s="4"/>
      <c r="AD25" s="4"/>
      <c r="AE25" s="4"/>
      <c r="AF25" s="4"/>
      <c r="AG25" s="4"/>
      <c r="AH25" s="3"/>
      <c r="AI25" s="4"/>
      <c r="AJ25" s="4"/>
      <c r="AK25" s="8"/>
      <c r="AL25" s="81"/>
      <c r="AM25" s="3"/>
      <c r="AN25" s="4"/>
      <c r="AO25" s="4"/>
      <c r="AP25" s="3"/>
      <c r="AQ25" s="3"/>
      <c r="AR25" s="3"/>
      <c r="AS25" s="3"/>
      <c r="AT25" s="8">
        <f t="shared" si="7"/>
        <v>24</v>
      </c>
      <c r="AU25" s="3"/>
      <c r="AV25" s="3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3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ht="15" customHeight="1">
      <c r="A26" s="1"/>
      <c r="B26" s="123"/>
      <c r="C26" s="124"/>
      <c r="D26" s="264"/>
      <c r="E26" s="266"/>
      <c r="F26" s="281"/>
      <c r="G26" s="147"/>
      <c r="H26" s="146"/>
      <c r="I26" s="146"/>
      <c r="J26" s="145"/>
      <c r="K26" s="146"/>
      <c r="L26" s="146"/>
      <c r="M26" s="148"/>
      <c r="N26" s="263"/>
      <c r="O26" s="285"/>
      <c r="P26" s="192"/>
      <c r="Q26" s="225"/>
      <c r="R26" s="42">
        <f t="shared" si="4"/>
        <v>39995.39615555551</v>
      </c>
      <c r="S26" s="149">
        <f t="shared" si="3"/>
        <v>161148978</v>
      </c>
      <c r="T26" s="149"/>
      <c r="U26" s="36">
        <f t="shared" si="5"/>
        <v>22</v>
      </c>
      <c r="V26" s="2"/>
      <c r="W26" s="3"/>
      <c r="X26" s="3"/>
      <c r="Y26" s="3"/>
      <c r="Z26" s="3"/>
      <c r="AA26" s="4"/>
      <c r="AB26" s="4"/>
      <c r="AC26" s="4"/>
      <c r="AD26" s="4"/>
      <c r="AE26" s="4"/>
      <c r="AF26" s="4"/>
      <c r="AG26" s="4"/>
      <c r="AH26" s="3"/>
      <c r="AI26" s="4"/>
      <c r="AJ26" s="4"/>
      <c r="AK26" s="8"/>
      <c r="AL26" s="81"/>
      <c r="AM26" s="3"/>
      <c r="AN26" s="4"/>
      <c r="AO26" s="4"/>
      <c r="AP26" s="3"/>
      <c r="AQ26" s="3"/>
      <c r="AR26" s="3"/>
      <c r="AS26" s="3"/>
      <c r="AT26" s="8">
        <f t="shared" si="7"/>
        <v>25</v>
      </c>
      <c r="AU26" s="3"/>
      <c r="AV26" s="3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ht="15" customHeight="1">
      <c r="A27" s="1"/>
      <c r="B27" s="123" t="s">
        <v>62</v>
      </c>
      <c r="C27" s="124"/>
      <c r="D27" s="264"/>
      <c r="E27" s="266">
        <v>47</v>
      </c>
      <c r="F27" s="277" t="s">
        <v>151</v>
      </c>
      <c r="G27" s="137"/>
      <c r="H27" s="135">
        <f>AL6</f>
        <v>1140000</v>
      </c>
      <c r="I27" s="135"/>
      <c r="J27" s="131">
        <v>5</v>
      </c>
      <c r="K27" s="135">
        <f>IF(H27&gt;$H$10,H27-$H$10,0)</f>
        <v>0</v>
      </c>
      <c r="L27" s="135"/>
      <c r="M27" s="139">
        <f>IF(K27="NO","NO",IF($P$19=0,"Infinite",ROUNDUP(K27/$P$19,0)))</f>
        <v>0</v>
      </c>
      <c r="N27" s="262" t="str">
        <f>IF($M$17="Income","Restrict",IF($J$17="ON",IF($C$9&gt;=J27,(H27/10)/10000,"Restrict"),(H27/10)/10000))</f>
        <v>Restrict</v>
      </c>
      <c r="O27" s="285" t="s">
        <v>28</v>
      </c>
      <c r="P27" s="192">
        <f>AS4</f>
        <v>85800000</v>
      </c>
      <c r="Q27" s="225"/>
      <c r="R27" s="42">
        <f t="shared" si="4"/>
        <v>39995.43782222217</v>
      </c>
      <c r="S27" s="149">
        <f t="shared" si="3"/>
        <v>168126378</v>
      </c>
      <c r="T27" s="149"/>
      <c r="U27" s="36">
        <f t="shared" si="5"/>
        <v>23</v>
      </c>
      <c r="V27" s="2"/>
      <c r="W27" s="3"/>
      <c r="X27" s="3"/>
      <c r="Y27" s="3"/>
      <c r="Z27" s="3"/>
      <c r="AA27" s="4"/>
      <c r="AB27" s="4"/>
      <c r="AC27" s="4"/>
      <c r="AD27" s="4"/>
      <c r="AE27" s="4"/>
      <c r="AF27" s="4"/>
      <c r="AG27" s="4"/>
      <c r="AH27" s="14"/>
      <c r="AI27" s="4"/>
      <c r="AJ27" s="4"/>
      <c r="AK27" s="8"/>
      <c r="AL27" s="81"/>
      <c r="AM27" s="4"/>
      <c r="AN27" s="4"/>
      <c r="AO27" s="4"/>
      <c r="AP27" s="82"/>
      <c r="AQ27" s="4"/>
      <c r="AR27" s="4"/>
      <c r="AS27" s="4"/>
      <c r="AT27" s="8">
        <f t="shared" si="7"/>
        <v>26</v>
      </c>
      <c r="AU27" s="4"/>
      <c r="AV27" s="4"/>
      <c r="AW27" s="10"/>
      <c r="AX27" s="10"/>
      <c r="AY27" s="10"/>
      <c r="AZ27" s="10"/>
      <c r="BA27" s="10"/>
      <c r="BB27" s="18"/>
      <c r="BC27" s="18"/>
      <c r="BD27" s="19"/>
      <c r="BE27" s="19"/>
      <c r="BF27" s="19"/>
      <c r="BG27" s="9"/>
      <c r="BH27" s="9"/>
      <c r="BI27" s="9"/>
      <c r="BJ27" s="9"/>
      <c r="BK27" s="9"/>
      <c r="BL27" s="9"/>
      <c r="BM27" s="3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ht="15" customHeight="1">
      <c r="A28" s="1"/>
      <c r="B28" s="123"/>
      <c r="C28" s="124"/>
      <c r="D28" s="264"/>
      <c r="E28" s="266"/>
      <c r="F28" s="277"/>
      <c r="G28" s="137"/>
      <c r="H28" s="135"/>
      <c r="I28" s="135"/>
      <c r="J28" s="131"/>
      <c r="K28" s="135"/>
      <c r="L28" s="135"/>
      <c r="M28" s="139"/>
      <c r="N28" s="263"/>
      <c r="O28" s="285"/>
      <c r="P28" s="192"/>
      <c r="Q28" s="225"/>
      <c r="R28" s="42">
        <f t="shared" si="4"/>
        <v>39995.479488888835</v>
      </c>
      <c r="S28" s="149">
        <f t="shared" si="3"/>
        <v>175103778</v>
      </c>
      <c r="T28" s="149"/>
      <c r="U28" s="36">
        <f t="shared" si="5"/>
        <v>24</v>
      </c>
      <c r="V28" s="83"/>
      <c r="W28" s="3"/>
      <c r="X28" s="3"/>
      <c r="Y28" s="3"/>
      <c r="Z28" s="3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8"/>
      <c r="AL28" s="81"/>
      <c r="AM28" s="3"/>
      <c r="AN28" s="4"/>
      <c r="AO28" s="4"/>
      <c r="AP28" s="4"/>
      <c r="AQ28" s="3"/>
      <c r="AR28" s="4"/>
      <c r="AS28" s="4"/>
      <c r="AT28" s="8">
        <f t="shared" si="7"/>
        <v>27</v>
      </c>
      <c r="AU28" s="4"/>
      <c r="AV28" s="4"/>
      <c r="AW28" s="10"/>
      <c r="AX28" s="10"/>
      <c r="AY28" s="10"/>
      <c r="AZ28" s="10"/>
      <c r="BA28" s="10"/>
      <c r="BB28" s="10"/>
      <c r="BC28" s="10"/>
      <c r="BD28" s="9"/>
      <c r="BE28" s="9"/>
      <c r="BF28" s="9"/>
      <c r="BG28" s="9"/>
      <c r="BH28" s="9"/>
      <c r="BI28" s="9"/>
      <c r="BJ28" s="9"/>
      <c r="BK28" s="9"/>
      <c r="BL28" s="9"/>
      <c r="BM28" s="3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3" ht="15" customHeight="1">
      <c r="A29" s="1"/>
      <c r="B29" s="123" t="s">
        <v>63</v>
      </c>
      <c r="C29" s="124"/>
      <c r="D29" s="264"/>
      <c r="E29" s="266">
        <v>45</v>
      </c>
      <c r="F29" s="291">
        <v>16500</v>
      </c>
      <c r="G29" s="146"/>
      <c r="H29" s="146">
        <f>AL7</f>
        <v>2970000</v>
      </c>
      <c r="I29" s="146"/>
      <c r="J29" s="145">
        <v>8</v>
      </c>
      <c r="K29" s="146">
        <f>IF(H29&gt;$H$10,H29-$H$10,0)</f>
        <v>0</v>
      </c>
      <c r="L29" s="146"/>
      <c r="M29" s="148">
        <f>IF(K29="NO","NO",IF($P$19=0,"Infinite",ROUNDUP(K29/$P$19,0)))</f>
        <v>0</v>
      </c>
      <c r="N29" s="262">
        <f>IF($M$17&lt;&gt;"Income","Restrict",IF($J$17="ON",IF($C$9&gt;=J29,(H29/F29)/10,"Restrict"),(H29/F29)/10))</f>
        <v>18</v>
      </c>
      <c r="O29" s="285" t="s">
        <v>27</v>
      </c>
      <c r="P29" s="294">
        <f>IF(M19="Infinite","Infinite",IF(P31=0,"BUY NOW",IF(P31=1,R5,R5+TIME(0,(P31-1)*C13,0))))</f>
        <v>39994.979488888894</v>
      </c>
      <c r="Q29" s="295"/>
      <c r="R29" s="42">
        <f t="shared" si="4"/>
        <v>39995.5211555555</v>
      </c>
      <c r="S29" s="149">
        <f t="shared" si="3"/>
        <v>182081178</v>
      </c>
      <c r="T29" s="149"/>
      <c r="U29" s="36">
        <f t="shared" si="5"/>
        <v>25</v>
      </c>
      <c r="V29" s="83" t="str">
        <f>IF($C$13=60,"1 Day","")</f>
        <v>1 Day</v>
      </c>
      <c r="W29" s="3"/>
      <c r="X29" s="3"/>
      <c r="Y29" s="3"/>
      <c r="Z29" s="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8"/>
      <c r="AL29" s="81"/>
      <c r="AM29" s="3"/>
      <c r="AN29" s="4"/>
      <c r="AO29" s="4"/>
      <c r="AP29" s="4"/>
      <c r="AQ29" s="3"/>
      <c r="AR29" s="4"/>
      <c r="AS29" s="4"/>
      <c r="AT29" s="8">
        <f t="shared" si="7"/>
        <v>28</v>
      </c>
      <c r="AU29" s="4"/>
      <c r="AV29" s="4"/>
      <c r="AW29" s="10"/>
      <c r="AX29" s="10"/>
      <c r="AY29" s="10"/>
      <c r="AZ29" s="10"/>
      <c r="BA29" s="10"/>
      <c r="BB29" s="10"/>
      <c r="BC29" s="10"/>
      <c r="BD29" s="9"/>
      <c r="BE29" s="9"/>
      <c r="BF29" s="9"/>
      <c r="BG29" s="9"/>
      <c r="BH29" s="9"/>
      <c r="BI29" s="9"/>
      <c r="BJ29" s="9"/>
      <c r="BK29" s="9"/>
      <c r="BL29" s="9"/>
      <c r="BM29" s="3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3" ht="15" customHeight="1">
      <c r="A30" s="1"/>
      <c r="B30" s="123"/>
      <c r="C30" s="124"/>
      <c r="D30" s="264"/>
      <c r="E30" s="266"/>
      <c r="F30" s="291"/>
      <c r="G30" s="146"/>
      <c r="H30" s="146"/>
      <c r="I30" s="146"/>
      <c r="J30" s="145"/>
      <c r="K30" s="146"/>
      <c r="L30" s="146"/>
      <c r="M30" s="148"/>
      <c r="N30" s="263"/>
      <c r="O30" s="285"/>
      <c r="P30" s="294"/>
      <c r="Q30" s="295"/>
      <c r="R30" s="42">
        <f t="shared" si="4"/>
        <v>39995.562822222164</v>
      </c>
      <c r="S30" s="149">
        <f t="shared" si="3"/>
        <v>189058578</v>
      </c>
      <c r="T30" s="149"/>
      <c r="U30" s="36">
        <f t="shared" si="5"/>
        <v>26</v>
      </c>
      <c r="V30" s="2"/>
      <c r="W30" s="3"/>
      <c r="X30" s="3"/>
      <c r="Y30" s="3"/>
      <c r="Z30" s="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8"/>
      <c r="AL30" s="81"/>
      <c r="AM30" s="3"/>
      <c r="AN30" s="4"/>
      <c r="AO30" s="4"/>
      <c r="AP30" s="4"/>
      <c r="AQ30" s="3"/>
      <c r="AR30" s="4"/>
      <c r="AS30" s="4"/>
      <c r="AT30" s="8">
        <f t="shared" si="7"/>
        <v>29</v>
      </c>
      <c r="AU30" s="3"/>
      <c r="AV30" s="4"/>
      <c r="AW30" s="10"/>
      <c r="AX30" s="10"/>
      <c r="AY30" s="10"/>
      <c r="AZ30" s="10"/>
      <c r="BA30" s="10"/>
      <c r="BB30" s="10"/>
      <c r="BC30" s="10"/>
      <c r="BD30" s="9"/>
      <c r="BE30" s="9"/>
      <c r="BF30" s="9"/>
      <c r="BG30" s="9"/>
      <c r="BH30" s="9"/>
      <c r="BI30" s="9"/>
      <c r="BJ30" s="9"/>
      <c r="BK30" s="9"/>
      <c r="BL30" s="9"/>
      <c r="BM30" s="3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ht="15" customHeight="1">
      <c r="A31" s="1"/>
      <c r="B31" s="123" t="s">
        <v>64</v>
      </c>
      <c r="C31" s="292"/>
      <c r="D31" s="264"/>
      <c r="E31" s="266">
        <v>9</v>
      </c>
      <c r="F31" s="277" t="s">
        <v>232</v>
      </c>
      <c r="G31" s="137"/>
      <c r="H31" s="135">
        <f>AL8</f>
        <v>1064000</v>
      </c>
      <c r="I31" s="135"/>
      <c r="J31" s="131">
        <v>10</v>
      </c>
      <c r="K31" s="135">
        <f>IF(H31&gt;$H$10,H31-$H$10,0)</f>
        <v>0</v>
      </c>
      <c r="L31" s="135"/>
      <c r="M31" s="139">
        <f>IF(K31="NO","NO",IF($P$19=0,"Infinite",ROUNDUP(K31/$P$19,0)))</f>
        <v>0</v>
      </c>
      <c r="N31" s="262" t="str">
        <f>IF($M$17="Income","Restrict",IF($J$17="ON",IF($C$9&gt;=J31,(H31/15)/10000,"Restrict"),(H31/15)/10000))</f>
        <v>Restrict</v>
      </c>
      <c r="O31" s="285" t="s">
        <v>17</v>
      </c>
      <c r="P31" s="196">
        <f>AS6</f>
        <v>12</v>
      </c>
      <c r="Q31" s="200"/>
      <c r="R31" s="42">
        <f t="shared" si="4"/>
        <v>39995.60448888883</v>
      </c>
      <c r="S31" s="149">
        <f t="shared" si="3"/>
        <v>196035978</v>
      </c>
      <c r="T31" s="149"/>
      <c r="U31" s="36">
        <f t="shared" si="5"/>
        <v>27</v>
      </c>
      <c r="V31" s="2"/>
      <c r="W31" s="3"/>
      <c r="X31" s="3"/>
      <c r="Y31" s="3"/>
      <c r="Z31" s="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8"/>
      <c r="AL31" s="81"/>
      <c r="AM31" s="3"/>
      <c r="AN31" s="4"/>
      <c r="AO31" s="4"/>
      <c r="AP31" s="4"/>
      <c r="AQ31" s="3"/>
      <c r="AR31" s="4"/>
      <c r="AS31" s="4"/>
      <c r="AT31" s="8">
        <f t="shared" si="7"/>
        <v>30</v>
      </c>
      <c r="AU31" s="6"/>
      <c r="AV31" s="4"/>
      <c r="AW31" s="10"/>
      <c r="AX31" s="10"/>
      <c r="AY31" s="10"/>
      <c r="AZ31" s="10"/>
      <c r="BA31" s="10"/>
      <c r="BB31" s="10"/>
      <c r="BC31" s="10"/>
      <c r="BD31" s="9"/>
      <c r="BE31" s="9"/>
      <c r="BF31" s="9"/>
      <c r="BG31" s="9"/>
      <c r="BH31" s="9"/>
      <c r="BI31" s="9"/>
      <c r="BJ31" s="9"/>
      <c r="BK31" s="9"/>
      <c r="BL31" s="9"/>
      <c r="BM31" s="3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3" ht="15" customHeight="1">
      <c r="A32" s="1"/>
      <c r="B32" s="293"/>
      <c r="C32" s="292"/>
      <c r="D32" s="264"/>
      <c r="E32" s="266"/>
      <c r="F32" s="277"/>
      <c r="G32" s="137"/>
      <c r="H32" s="135"/>
      <c r="I32" s="135"/>
      <c r="J32" s="131"/>
      <c r="K32" s="135"/>
      <c r="L32" s="135"/>
      <c r="M32" s="139"/>
      <c r="N32" s="263"/>
      <c r="O32" s="285"/>
      <c r="P32" s="196"/>
      <c r="Q32" s="200"/>
      <c r="R32" s="42">
        <f t="shared" si="4"/>
        <v>39995.64615555549</v>
      </c>
      <c r="S32" s="149">
        <f t="shared" si="3"/>
        <v>203013378</v>
      </c>
      <c r="T32" s="149"/>
      <c r="U32" s="36">
        <f t="shared" si="5"/>
        <v>28</v>
      </c>
      <c r="V32" s="2"/>
      <c r="W32" s="3"/>
      <c r="X32" s="3"/>
      <c r="Y32" s="3"/>
      <c r="Z32" s="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8"/>
      <c r="AL32" s="81"/>
      <c r="AM32" s="3"/>
      <c r="AN32" s="4"/>
      <c r="AO32" s="4"/>
      <c r="AP32" s="4"/>
      <c r="AQ32" s="3"/>
      <c r="AR32" s="4"/>
      <c r="AS32" s="4"/>
      <c r="AT32" s="8">
        <f t="shared" si="7"/>
        <v>31</v>
      </c>
      <c r="AU32" s="84"/>
      <c r="AV32" s="4"/>
      <c r="AW32" s="10"/>
      <c r="AX32" s="10"/>
      <c r="AY32" s="10"/>
      <c r="AZ32" s="10"/>
      <c r="BA32" s="10"/>
      <c r="BB32" s="10"/>
      <c r="BC32" s="10"/>
      <c r="BD32" s="9"/>
      <c r="BE32" s="9"/>
      <c r="BF32" s="9"/>
      <c r="BG32" s="9"/>
      <c r="BH32" s="9"/>
      <c r="BI32" s="9"/>
      <c r="BJ32" s="9"/>
      <c r="BK32" s="9"/>
      <c r="BL32" s="9"/>
      <c r="BM32" s="3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ht="15" customHeight="1">
      <c r="A33" s="1"/>
      <c r="B33" s="123" t="s">
        <v>65</v>
      </c>
      <c r="C33" s="124"/>
      <c r="D33" s="264"/>
      <c r="E33" s="266">
        <v>40</v>
      </c>
      <c r="F33" s="291">
        <v>56000</v>
      </c>
      <c r="G33" s="146"/>
      <c r="H33" s="146">
        <f>AL9</f>
        <v>13500000</v>
      </c>
      <c r="I33" s="146"/>
      <c r="J33" s="145">
        <v>12</v>
      </c>
      <c r="K33" s="146">
        <f>IF(H33&gt;$H$10,H33-$H$10,0)</f>
        <v>5853822</v>
      </c>
      <c r="L33" s="146"/>
      <c r="M33" s="148">
        <f>IF(K33="NO","NO",IF($P$19=0,"Infinite",ROUNDUP(K33/$P$19,0)))</f>
        <v>1</v>
      </c>
      <c r="N33" s="262">
        <f>IF($M$17&lt;&gt;"Income","Restrict",IF($J$17="ON",IF($C$9&gt;=J33,(H33/F33)/10,"Restrict"),(H33/F33)/10))</f>
        <v>24.107142857142858</v>
      </c>
      <c r="O33" s="285" t="s">
        <v>156</v>
      </c>
      <c r="P33" s="287">
        <f>IF(M19="Infinite","Infinite",IF(P31=0,0,P29-H6))</f>
        <v>0.49027777778246673</v>
      </c>
      <c r="Q33" s="288"/>
      <c r="R33" s="42">
        <f t="shared" si="4"/>
        <v>39995.68782222216</v>
      </c>
      <c r="S33" s="149">
        <f t="shared" si="3"/>
        <v>209990778</v>
      </c>
      <c r="T33" s="149"/>
      <c r="U33" s="36">
        <f t="shared" si="5"/>
        <v>29</v>
      </c>
      <c r="V33" s="2"/>
      <c r="W33" s="3"/>
      <c r="X33" s="3"/>
      <c r="Y33" s="3"/>
      <c r="Z33" s="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8"/>
      <c r="AL33" s="81"/>
      <c r="AM33" s="3"/>
      <c r="AN33" s="4"/>
      <c r="AO33" s="4"/>
      <c r="AP33" s="4"/>
      <c r="AQ33" s="3"/>
      <c r="AR33" s="4"/>
      <c r="AS33" s="4"/>
      <c r="AT33" s="8">
        <f t="shared" si="7"/>
        <v>32</v>
      </c>
      <c r="AU33" s="84"/>
      <c r="AV33" s="4"/>
      <c r="AW33" s="10"/>
      <c r="AX33" s="10"/>
      <c r="AY33" s="10"/>
      <c r="AZ33" s="10"/>
      <c r="BA33" s="10"/>
      <c r="BB33" s="10"/>
      <c r="BC33" s="10"/>
      <c r="BD33" s="9"/>
      <c r="BE33" s="9"/>
      <c r="BF33" s="9"/>
      <c r="BG33" s="9"/>
      <c r="BH33" s="9"/>
      <c r="BI33" s="9"/>
      <c r="BJ33" s="9"/>
      <c r="BK33" s="9"/>
      <c r="BL33" s="9"/>
      <c r="BM33" s="3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ht="15" customHeight="1">
      <c r="A34" s="1"/>
      <c r="B34" s="123"/>
      <c r="C34" s="124"/>
      <c r="D34" s="264"/>
      <c r="E34" s="266"/>
      <c r="F34" s="291"/>
      <c r="G34" s="146"/>
      <c r="H34" s="146"/>
      <c r="I34" s="146"/>
      <c r="J34" s="145"/>
      <c r="K34" s="146"/>
      <c r="L34" s="146"/>
      <c r="M34" s="148"/>
      <c r="N34" s="263"/>
      <c r="O34" s="286"/>
      <c r="P34" s="289"/>
      <c r="Q34" s="290"/>
      <c r="R34" s="42">
        <f t="shared" si="4"/>
        <v>39995.72948888882</v>
      </c>
      <c r="S34" s="149">
        <f t="shared" si="3"/>
        <v>216968178</v>
      </c>
      <c r="T34" s="149"/>
      <c r="U34" s="36">
        <f t="shared" si="5"/>
        <v>30</v>
      </c>
      <c r="V34" s="83">
        <f>IF($C$13=50,"1 Day","")</f>
      </c>
      <c r="W34" s="3"/>
      <c r="X34" s="3"/>
      <c r="Y34" s="3"/>
      <c r="Z34" s="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8"/>
      <c r="AL34" s="81"/>
      <c r="AM34" s="3"/>
      <c r="AN34" s="4"/>
      <c r="AO34" s="4"/>
      <c r="AP34" s="4"/>
      <c r="AQ34" s="3"/>
      <c r="AR34" s="4"/>
      <c r="AS34" s="4"/>
      <c r="AT34" s="8">
        <f t="shared" si="7"/>
        <v>33</v>
      </c>
      <c r="AU34" s="84"/>
      <c r="AV34" s="4"/>
      <c r="AW34" s="10"/>
      <c r="AX34" s="10"/>
      <c r="AY34" s="10"/>
      <c r="AZ34" s="10"/>
      <c r="BA34" s="10"/>
      <c r="BB34" s="10"/>
      <c r="BC34" s="10"/>
      <c r="BD34" s="9"/>
      <c r="BE34" s="9"/>
      <c r="BF34" s="9"/>
      <c r="BG34" s="9"/>
      <c r="BH34" s="9"/>
      <c r="BI34" s="9"/>
      <c r="BJ34" s="9"/>
      <c r="BK34" s="9"/>
      <c r="BL34" s="9"/>
      <c r="BM34" s="3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ht="15" customHeight="1">
      <c r="A35" s="1"/>
      <c r="B35" s="123" t="s">
        <v>231</v>
      </c>
      <c r="C35" s="124"/>
      <c r="D35" s="264"/>
      <c r="E35" s="266">
        <v>2</v>
      </c>
      <c r="F35" s="277" t="s">
        <v>152</v>
      </c>
      <c r="G35" s="137"/>
      <c r="H35" s="135">
        <f>AL10</f>
        <v>3360000</v>
      </c>
      <c r="I35" s="135"/>
      <c r="J35" s="131">
        <v>15</v>
      </c>
      <c r="K35" s="135">
        <f>IF(H35&gt;$H$10,H35-$H$10,0)</f>
        <v>0</v>
      </c>
      <c r="L35" s="135"/>
      <c r="M35" s="139">
        <f>IF(K35="NO","NO",IF($P$19=0,"Infinite",ROUNDUP(K35/$P$19,0)))</f>
        <v>0</v>
      </c>
      <c r="N35" s="262" t="str">
        <f>IF($M$17="Income","Restrict",IF($J$17="ON",IF($C$9&gt;=J35,(H35/32)/10000,"Restrict"),(H35/32)/10000))</f>
        <v>Restrict</v>
      </c>
      <c r="O35" s="282"/>
      <c r="P35" s="283"/>
      <c r="Q35" s="284"/>
      <c r="R35" s="42">
        <f t="shared" si="4"/>
        <v>39995.771155555485</v>
      </c>
      <c r="S35" s="149">
        <f t="shared" si="3"/>
        <v>223945578</v>
      </c>
      <c r="T35" s="149"/>
      <c r="U35" s="36">
        <f t="shared" si="5"/>
        <v>31</v>
      </c>
      <c r="W35" s="3"/>
      <c r="X35" s="3"/>
      <c r="Y35" s="3"/>
      <c r="Z35" s="3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81"/>
      <c r="AM35" s="3"/>
      <c r="AN35" s="4"/>
      <c r="AO35" s="4"/>
      <c r="AP35" s="4"/>
      <c r="AQ35" s="3"/>
      <c r="AR35" s="4"/>
      <c r="AS35" s="4"/>
      <c r="AT35" s="8">
        <f t="shared" si="7"/>
        <v>34</v>
      </c>
      <c r="AU35" s="84"/>
      <c r="AV35" s="4"/>
      <c r="AW35" s="10"/>
      <c r="AX35" s="10"/>
      <c r="AY35" s="10"/>
      <c r="AZ35" s="10"/>
      <c r="BA35" s="10"/>
      <c r="BB35" s="10"/>
      <c r="BC35" s="10"/>
      <c r="BD35" s="9"/>
      <c r="BE35" s="9"/>
      <c r="BF35" s="9"/>
      <c r="BG35" s="9"/>
      <c r="BH35" s="9"/>
      <c r="BI35" s="9"/>
      <c r="BJ35" s="9"/>
      <c r="BK35" s="9"/>
      <c r="BL35" s="9"/>
      <c r="BM35" s="3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ht="15" customHeight="1">
      <c r="A36" s="1"/>
      <c r="B36" s="123"/>
      <c r="C36" s="124"/>
      <c r="D36" s="264"/>
      <c r="E36" s="266"/>
      <c r="F36" s="277"/>
      <c r="G36" s="137"/>
      <c r="H36" s="135"/>
      <c r="I36" s="135"/>
      <c r="J36" s="131"/>
      <c r="K36" s="135"/>
      <c r="L36" s="135"/>
      <c r="M36" s="139"/>
      <c r="N36" s="263"/>
      <c r="O36" s="272"/>
      <c r="P36" s="273"/>
      <c r="Q36" s="274"/>
      <c r="R36" s="42">
        <f t="shared" si="4"/>
        <v>39995.81282222215</v>
      </c>
      <c r="S36" s="149">
        <f t="shared" si="3"/>
        <v>230922978</v>
      </c>
      <c r="T36" s="149"/>
      <c r="U36" s="36">
        <f t="shared" si="5"/>
        <v>32</v>
      </c>
      <c r="W36" s="3"/>
      <c r="X36" s="3"/>
      <c r="Y36" s="3"/>
      <c r="Z36" s="3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81"/>
      <c r="AM36" s="3"/>
      <c r="AN36" s="4"/>
      <c r="AO36" s="4"/>
      <c r="AP36" s="4"/>
      <c r="AQ36" s="3"/>
      <c r="AR36" s="4"/>
      <c r="AS36" s="4"/>
      <c r="AT36" s="8">
        <f t="shared" si="7"/>
        <v>35</v>
      </c>
      <c r="AU36" s="84"/>
      <c r="AV36" s="4"/>
      <c r="AW36" s="10"/>
      <c r="AX36" s="10"/>
      <c r="AY36" s="10"/>
      <c r="AZ36" s="10"/>
      <c r="BA36" s="10"/>
      <c r="BB36" s="10"/>
      <c r="BC36" s="10"/>
      <c r="BD36" s="9"/>
      <c r="BE36" s="9"/>
      <c r="BF36" s="9"/>
      <c r="BG36" s="9"/>
      <c r="BH36" s="9"/>
      <c r="BI36" s="9"/>
      <c r="BJ36" s="9"/>
      <c r="BK36" s="9"/>
      <c r="BL36" s="9"/>
      <c r="BM36" s="3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ht="15" customHeight="1">
      <c r="A37" s="1"/>
      <c r="B37" s="123" t="s">
        <v>70</v>
      </c>
      <c r="C37" s="124"/>
      <c r="D37" s="264"/>
      <c r="E37" s="266">
        <v>0</v>
      </c>
      <c r="F37" s="281" t="s">
        <v>76</v>
      </c>
      <c r="G37" s="147"/>
      <c r="H37" s="146">
        <f>AL11</f>
        <v>8000000</v>
      </c>
      <c r="I37" s="146"/>
      <c r="J37" s="145">
        <v>18</v>
      </c>
      <c r="K37" s="146">
        <f>IF(H37="Limit","None",IF(H37&gt;$H$10,H37-$H$10,0))</f>
        <v>353822</v>
      </c>
      <c r="L37" s="146"/>
      <c r="M37" s="148">
        <f>IF(H37="Limit",0,IF(K37="NO","NO",IF($P$19=0,"Infinite",ROUNDUP(K37/$P$19,0))))</f>
        <v>1</v>
      </c>
      <c r="N37" s="276" t="s">
        <v>78</v>
      </c>
      <c r="O37" s="272"/>
      <c r="P37" s="273"/>
      <c r="Q37" s="274"/>
      <c r="R37" s="42">
        <f t="shared" si="4"/>
        <v>39995.854488888814</v>
      </c>
      <c r="S37" s="149">
        <f t="shared" si="3"/>
        <v>237900378</v>
      </c>
      <c r="T37" s="149"/>
      <c r="U37" s="36">
        <f t="shared" si="5"/>
        <v>33</v>
      </c>
      <c r="W37" s="3"/>
      <c r="X37" s="3"/>
      <c r="Y37" s="3"/>
      <c r="Z37" s="3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81"/>
      <c r="AM37" s="4"/>
      <c r="AN37" s="4"/>
      <c r="AO37" s="4"/>
      <c r="AP37" s="4"/>
      <c r="AQ37" s="4"/>
      <c r="AR37" s="4"/>
      <c r="AS37" s="4"/>
      <c r="AT37" s="8">
        <f t="shared" si="7"/>
        <v>36</v>
      </c>
      <c r="AU37" s="84"/>
      <c r="AV37" s="4"/>
      <c r="AW37" s="10"/>
      <c r="AX37" s="10"/>
      <c r="AY37" s="10"/>
      <c r="AZ37" s="10"/>
      <c r="BA37" s="10"/>
      <c r="BB37" s="10"/>
      <c r="BC37" s="10"/>
      <c r="BD37" s="9"/>
      <c r="BE37" s="9"/>
      <c r="BF37" s="9"/>
      <c r="BG37" s="9"/>
      <c r="BH37" s="9"/>
      <c r="BI37" s="9"/>
      <c r="BJ37" s="9"/>
      <c r="BK37" s="9"/>
      <c r="BL37" s="9"/>
      <c r="BM37" s="3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ht="15" customHeight="1">
      <c r="A38" s="1"/>
      <c r="B38" s="123"/>
      <c r="C38" s="124"/>
      <c r="D38" s="264"/>
      <c r="E38" s="266"/>
      <c r="F38" s="281"/>
      <c r="G38" s="147"/>
      <c r="H38" s="146"/>
      <c r="I38" s="146"/>
      <c r="J38" s="145"/>
      <c r="K38" s="146"/>
      <c r="L38" s="146"/>
      <c r="M38" s="148"/>
      <c r="N38" s="263"/>
      <c r="O38" s="278"/>
      <c r="P38" s="279"/>
      <c r="Q38" s="280"/>
      <c r="R38" s="42">
        <f t="shared" si="4"/>
        <v>39995.89615555548</v>
      </c>
      <c r="S38" s="149">
        <f t="shared" si="3"/>
        <v>244877778</v>
      </c>
      <c r="T38" s="149"/>
      <c r="U38" s="36">
        <f t="shared" si="5"/>
        <v>34</v>
      </c>
      <c r="W38" s="9"/>
      <c r="X38" s="9"/>
      <c r="Y38" s="3"/>
      <c r="Z38" s="3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85"/>
      <c r="AM38" s="4"/>
      <c r="AN38" s="4"/>
      <c r="AO38" s="4"/>
      <c r="AP38" s="4"/>
      <c r="AQ38" s="4"/>
      <c r="AR38" s="4"/>
      <c r="AS38" s="4"/>
      <c r="AT38" s="8">
        <f t="shared" si="7"/>
        <v>37</v>
      </c>
      <c r="AU38" s="84"/>
      <c r="AV38" s="10"/>
      <c r="AW38" s="10"/>
      <c r="AX38" s="10"/>
      <c r="AY38" s="10"/>
      <c r="AZ38" s="10"/>
      <c r="BA38" s="10"/>
      <c r="BB38" s="10"/>
      <c r="BC38" s="10"/>
      <c r="BD38" s="9"/>
      <c r="BE38" s="9"/>
      <c r="BF38" s="9"/>
      <c r="BG38" s="9"/>
      <c r="BH38" s="9"/>
      <c r="BI38" s="9"/>
      <c r="BJ38" s="9"/>
      <c r="BK38" s="9"/>
      <c r="BL38" s="9"/>
      <c r="BM38" s="3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ht="15" customHeight="1">
      <c r="A39" s="1"/>
      <c r="B39" s="123" t="s">
        <v>120</v>
      </c>
      <c r="C39" s="124"/>
      <c r="D39" s="264"/>
      <c r="E39" s="266">
        <v>0</v>
      </c>
      <c r="F39" s="277" t="s">
        <v>153</v>
      </c>
      <c r="G39" s="137"/>
      <c r="H39" s="135">
        <f>AL12</f>
        <v>10000000</v>
      </c>
      <c r="I39" s="135"/>
      <c r="J39" s="131">
        <v>22</v>
      </c>
      <c r="K39" s="135">
        <f>IF(H39&gt;$H$10,H39-$H$10,0)</f>
        <v>2353822</v>
      </c>
      <c r="L39" s="135"/>
      <c r="M39" s="139">
        <f>IF(K39="NO","NO",IF($P$19=0,"Infinite",ROUNDUP(K39/$P$19,0)))</f>
        <v>1</v>
      </c>
      <c r="N39" s="262" t="str">
        <f>IF($M$17="Income","Restrict",IF($J$17="ON",IF($C$9&gt;=J39,(H39/50)/10000,"Restrict"),(H39/50)/10000))</f>
        <v>Restrict</v>
      </c>
      <c r="O39" s="272"/>
      <c r="P39" s="273"/>
      <c r="Q39" s="274"/>
      <c r="R39" s="42">
        <f t="shared" si="4"/>
        <v>39995.93782222214</v>
      </c>
      <c r="S39" s="149">
        <f t="shared" si="3"/>
        <v>251855178</v>
      </c>
      <c r="T39" s="149"/>
      <c r="U39" s="36">
        <f t="shared" si="5"/>
        <v>35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8">
        <f t="shared" si="7"/>
        <v>38</v>
      </c>
      <c r="AU39" s="84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ht="15" customHeight="1">
      <c r="A40" s="1"/>
      <c r="B40" s="123"/>
      <c r="C40" s="124"/>
      <c r="D40" s="264"/>
      <c r="E40" s="266"/>
      <c r="F40" s="277"/>
      <c r="G40" s="137"/>
      <c r="H40" s="135"/>
      <c r="I40" s="135"/>
      <c r="J40" s="131"/>
      <c r="K40" s="135"/>
      <c r="L40" s="135"/>
      <c r="M40" s="139"/>
      <c r="N40" s="263"/>
      <c r="O40" s="272"/>
      <c r="P40" s="273"/>
      <c r="Q40" s="274"/>
      <c r="R40" s="42">
        <f t="shared" si="4"/>
        <v>39995.97948888881</v>
      </c>
      <c r="S40" s="149">
        <f t="shared" si="3"/>
        <v>258832578</v>
      </c>
      <c r="T40" s="149"/>
      <c r="U40" s="36">
        <f t="shared" si="5"/>
        <v>36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8">
        <f t="shared" si="7"/>
        <v>39</v>
      </c>
      <c r="AU40" s="84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ht="15" customHeight="1">
      <c r="A41" s="1"/>
      <c r="B41" s="123" t="s">
        <v>67</v>
      </c>
      <c r="C41" s="124"/>
      <c r="D41" s="264"/>
      <c r="E41" s="266">
        <v>14</v>
      </c>
      <c r="F41" s="275">
        <v>270000</v>
      </c>
      <c r="G41" s="271"/>
      <c r="H41" s="271">
        <f>AL13</f>
        <v>48000000</v>
      </c>
      <c r="I41" s="271"/>
      <c r="J41" s="258">
        <v>25</v>
      </c>
      <c r="K41" s="271">
        <f>IF(H41&gt;$H$10,H41-$H$10,0)</f>
        <v>40353822</v>
      </c>
      <c r="L41" s="271"/>
      <c r="M41" s="250">
        <f>IF(K41="NO","NO",IF($P$19=0,"Infinite",ROUNDUP(K41/$P$19,0)))</f>
        <v>6</v>
      </c>
      <c r="N41" s="262">
        <f>IF($M$17&lt;&gt;"Income","Restrict",IF($J$17="ON",IF($C$9&gt;=J41,(H41/F41)/10,"Restrict"),(H41/F41)/10))</f>
        <v>17.77777777777778</v>
      </c>
      <c r="O41" s="272"/>
      <c r="P41" s="273"/>
      <c r="Q41" s="274"/>
      <c r="R41" s="42">
        <f t="shared" si="4"/>
        <v>39996.02115555547</v>
      </c>
      <c r="S41" s="149">
        <f t="shared" si="3"/>
        <v>265809978</v>
      </c>
      <c r="T41" s="149"/>
      <c r="U41" s="36">
        <f t="shared" si="5"/>
        <v>37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8">
        <f t="shared" si="7"/>
        <v>40</v>
      </c>
      <c r="AU41" s="84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ht="15" customHeight="1">
      <c r="A42" s="1"/>
      <c r="B42" s="123"/>
      <c r="C42" s="124"/>
      <c r="D42" s="264"/>
      <c r="E42" s="266"/>
      <c r="F42" s="275"/>
      <c r="G42" s="271"/>
      <c r="H42" s="271"/>
      <c r="I42" s="271"/>
      <c r="J42" s="258"/>
      <c r="K42" s="271"/>
      <c r="L42" s="271"/>
      <c r="M42" s="250"/>
      <c r="N42" s="263"/>
      <c r="O42" s="272"/>
      <c r="P42" s="273"/>
      <c r="Q42" s="274"/>
      <c r="R42" s="42">
        <f t="shared" si="4"/>
        <v>39996.062822222135</v>
      </c>
      <c r="S42" s="149">
        <f t="shared" si="3"/>
        <v>272787378</v>
      </c>
      <c r="T42" s="149"/>
      <c r="U42" s="36">
        <f t="shared" si="5"/>
        <v>38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8">
        <f t="shared" si="7"/>
        <v>41</v>
      </c>
      <c r="AU42" s="84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ht="15" customHeight="1">
      <c r="A43" s="1"/>
      <c r="B43" s="123" t="s">
        <v>69</v>
      </c>
      <c r="C43" s="124"/>
      <c r="D43" s="264"/>
      <c r="E43" s="266">
        <v>0</v>
      </c>
      <c r="F43" s="268" t="s">
        <v>122</v>
      </c>
      <c r="G43" s="135"/>
      <c r="H43" s="135">
        <f>AL14</f>
        <v>30000000</v>
      </c>
      <c r="I43" s="135"/>
      <c r="J43" s="131">
        <v>30</v>
      </c>
      <c r="K43" s="135">
        <f>IF(H43="Limit","None",IF(H43&gt;$H$10,H43-$H$10,0))</f>
        <v>22353822</v>
      </c>
      <c r="L43" s="135"/>
      <c r="M43" s="139">
        <f>IF(H43="Limit",0,IF(K43="NO","NO",IF($P$19=0,"Infinite",ROUNDUP(K43/$P$19,0))))</f>
        <v>4</v>
      </c>
      <c r="N43" s="276" t="s">
        <v>78</v>
      </c>
      <c r="O43" s="272"/>
      <c r="P43" s="273"/>
      <c r="Q43" s="274"/>
      <c r="R43" s="42">
        <f t="shared" si="4"/>
        <v>39996.1044888888</v>
      </c>
      <c r="S43" s="149">
        <f t="shared" si="3"/>
        <v>279764778</v>
      </c>
      <c r="T43" s="149"/>
      <c r="U43" s="36">
        <f t="shared" si="5"/>
        <v>39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8">
        <f t="shared" si="7"/>
        <v>42</v>
      </c>
      <c r="AU43" s="84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ht="15" customHeight="1">
      <c r="A44" s="1"/>
      <c r="B44" s="123"/>
      <c r="C44" s="124"/>
      <c r="D44" s="264"/>
      <c r="E44" s="266"/>
      <c r="F44" s="268"/>
      <c r="G44" s="135"/>
      <c r="H44" s="135"/>
      <c r="I44" s="135"/>
      <c r="J44" s="131"/>
      <c r="K44" s="135"/>
      <c r="L44" s="135"/>
      <c r="M44" s="139"/>
      <c r="N44" s="263"/>
      <c r="O44" s="272"/>
      <c r="P44" s="273"/>
      <c r="Q44" s="274"/>
      <c r="R44" s="42">
        <f t="shared" si="4"/>
        <v>39996.14615555546</v>
      </c>
      <c r="S44" s="149">
        <f t="shared" si="3"/>
        <v>286742178</v>
      </c>
      <c r="T44" s="149"/>
      <c r="U44" s="36">
        <f t="shared" si="5"/>
        <v>40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8">
        <f t="shared" si="7"/>
        <v>43</v>
      </c>
      <c r="AU44" s="84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ht="15" customHeight="1">
      <c r="A45" s="1"/>
      <c r="B45" s="123" t="s">
        <v>68</v>
      </c>
      <c r="C45" s="124"/>
      <c r="D45" s="264"/>
      <c r="E45" s="266">
        <v>3</v>
      </c>
      <c r="F45" s="275">
        <v>500000</v>
      </c>
      <c r="G45" s="271"/>
      <c r="H45" s="271">
        <f>AL15</f>
        <v>85800000</v>
      </c>
      <c r="I45" s="271"/>
      <c r="J45" s="258">
        <v>35</v>
      </c>
      <c r="K45" s="271">
        <f>IF(H45&gt;$H$10,H45-$H$10,0)</f>
        <v>78153822</v>
      </c>
      <c r="L45" s="271"/>
      <c r="M45" s="250">
        <f>IF(K45="NO","NO",IF($P$19=0,"Infinite",ROUNDUP(K45/$P$19,0)))</f>
        <v>12</v>
      </c>
      <c r="N45" s="262">
        <f>IF($M$17&lt;&gt;"Income","Restrict",IF($J$17="ON",IF($C$9&gt;=J45,(H45/F45)/10,"Restrict"),(H45/F45)/10))</f>
        <v>17.16</v>
      </c>
      <c r="O45" s="272"/>
      <c r="P45" s="273"/>
      <c r="Q45" s="274"/>
      <c r="R45" s="42">
        <f t="shared" si="4"/>
        <v>39996.18782222213</v>
      </c>
      <c r="S45" s="149">
        <f t="shared" si="3"/>
        <v>293719578</v>
      </c>
      <c r="T45" s="149"/>
      <c r="U45" s="36">
        <f t="shared" si="5"/>
        <v>41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8">
        <f t="shared" si="7"/>
        <v>44</v>
      </c>
      <c r="AU45" s="84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ht="15" customHeight="1">
      <c r="A46" s="1"/>
      <c r="B46" s="123"/>
      <c r="C46" s="124"/>
      <c r="D46" s="264"/>
      <c r="E46" s="266"/>
      <c r="F46" s="275"/>
      <c r="G46" s="271"/>
      <c r="H46" s="271"/>
      <c r="I46" s="271"/>
      <c r="J46" s="258"/>
      <c r="K46" s="271"/>
      <c r="L46" s="271"/>
      <c r="M46" s="250"/>
      <c r="N46" s="263"/>
      <c r="O46" s="120"/>
      <c r="P46" s="118"/>
      <c r="Q46" s="116"/>
      <c r="R46" s="42">
        <f t="shared" si="4"/>
        <v>39996.22948888879</v>
      </c>
      <c r="S46" s="149">
        <f t="shared" si="3"/>
        <v>300696978</v>
      </c>
      <c r="T46" s="149"/>
      <c r="U46" s="36">
        <f t="shared" si="5"/>
        <v>42</v>
      </c>
      <c r="V46" s="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8">
        <f t="shared" si="7"/>
        <v>45</v>
      </c>
      <c r="AU46" s="84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ht="15" customHeight="1">
      <c r="A47" s="1"/>
      <c r="B47" s="123" t="s">
        <v>155</v>
      </c>
      <c r="C47" s="124"/>
      <c r="D47" s="264"/>
      <c r="E47" s="266">
        <v>0</v>
      </c>
      <c r="F47" s="268">
        <v>700000</v>
      </c>
      <c r="G47" s="135"/>
      <c r="H47" s="135">
        <f>AL16</f>
        <v>100000000</v>
      </c>
      <c r="I47" s="135"/>
      <c r="J47" s="270" t="s">
        <v>229</v>
      </c>
      <c r="K47" s="135">
        <f>IF(H47&gt;$H$10,H47-$H$10,0)</f>
        <v>92353822</v>
      </c>
      <c r="L47" s="135"/>
      <c r="M47" s="139">
        <f>IF(K47="NO","NO",IF($P$19=0,"Infinite",ROUNDUP(K47/$P$19,0)))</f>
        <v>14</v>
      </c>
      <c r="N47" s="262" t="str">
        <f>IF($M$17&lt;&gt;"Income","Restrict",IF($J$17="ON",IF($C$9&gt;=J47,(H47/F47)/10,"Restrict"),(H47/F47)/10))</f>
        <v>Restrict</v>
      </c>
      <c r="O47" s="120"/>
      <c r="P47" s="118"/>
      <c r="Q47" s="116"/>
      <c r="R47" s="42">
        <f t="shared" si="4"/>
        <v>39996.271155555456</v>
      </c>
      <c r="S47" s="149">
        <f t="shared" si="3"/>
        <v>307674378</v>
      </c>
      <c r="T47" s="149"/>
      <c r="U47" s="36">
        <f t="shared" si="5"/>
        <v>43</v>
      </c>
      <c r="V47" s="2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8">
        <f t="shared" si="7"/>
        <v>46</v>
      </c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ht="15" customHeight="1">
      <c r="A48" s="1"/>
      <c r="B48" s="126"/>
      <c r="C48" s="127"/>
      <c r="D48" s="265"/>
      <c r="E48" s="267"/>
      <c r="F48" s="269"/>
      <c r="G48" s="136"/>
      <c r="H48" s="136"/>
      <c r="I48" s="136"/>
      <c r="J48" s="132"/>
      <c r="K48" s="136"/>
      <c r="L48" s="136"/>
      <c r="M48" s="140"/>
      <c r="N48" s="263"/>
      <c r="O48" s="121"/>
      <c r="P48" s="119"/>
      <c r="Q48" s="117"/>
      <c r="R48" s="42">
        <f t="shared" si="4"/>
        <v>39996.31282222212</v>
      </c>
      <c r="S48" s="149">
        <f t="shared" si="3"/>
        <v>314651778</v>
      </c>
      <c r="T48" s="149"/>
      <c r="U48" s="36">
        <f t="shared" si="5"/>
        <v>44</v>
      </c>
      <c r="V48" s="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8">
        <f t="shared" si="7"/>
        <v>47</v>
      </c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5" customHeight="1" thickBot="1">
      <c r="A49" s="1"/>
      <c r="R49" s="42">
        <f t="shared" si="4"/>
        <v>39996.354488888785</v>
      </c>
      <c r="S49" s="149">
        <f t="shared" si="3"/>
        <v>321629178</v>
      </c>
      <c r="T49" s="149"/>
      <c r="U49" s="36">
        <f t="shared" si="5"/>
        <v>45</v>
      </c>
      <c r="V49" s="2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8">
        <f t="shared" si="7"/>
        <v>48</v>
      </c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5" customHeight="1" thickTop="1">
      <c r="A50" s="1"/>
      <c r="B50" s="170" t="s">
        <v>81</v>
      </c>
      <c r="C50" s="171"/>
      <c r="D50" s="28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42">
        <f t="shared" si="4"/>
        <v>39996.39615555545</v>
      </c>
      <c r="S50" s="149">
        <f t="shared" si="3"/>
        <v>328606578</v>
      </c>
      <c r="T50" s="149"/>
      <c r="U50" s="36">
        <f t="shared" si="5"/>
        <v>46</v>
      </c>
      <c r="V50" s="2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8">
        <f t="shared" si="7"/>
        <v>49</v>
      </c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5" customHeight="1" thickBot="1">
      <c r="A51" s="1"/>
      <c r="B51" s="172"/>
      <c r="C51" s="173"/>
      <c r="D51" s="47"/>
      <c r="E51" s="47"/>
      <c r="F51" s="1"/>
      <c r="G51" s="1"/>
      <c r="H51" s="47"/>
      <c r="I51" s="47"/>
      <c r="K51" s="234" t="s">
        <v>40</v>
      </c>
      <c r="L51" s="235"/>
      <c r="M51" s="235"/>
      <c r="N51" s="236"/>
      <c r="O51" s="1"/>
      <c r="P51" s="1"/>
      <c r="Q51" s="1"/>
      <c r="R51" s="42">
        <f t="shared" si="4"/>
        <v>39996.43782222211</v>
      </c>
      <c r="S51" s="149">
        <f t="shared" si="3"/>
        <v>335583978</v>
      </c>
      <c r="T51" s="149"/>
      <c r="U51" s="36">
        <f t="shared" si="5"/>
        <v>47</v>
      </c>
      <c r="V51" s="2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8">
        <f t="shared" si="7"/>
        <v>50</v>
      </c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5" customHeight="1" thickBot="1" thickTop="1">
      <c r="A52" s="1"/>
      <c r="B52" s="260" t="s">
        <v>88</v>
      </c>
      <c r="C52" s="261"/>
      <c r="D52" s="86" t="s">
        <v>48</v>
      </c>
      <c r="E52" s="87" t="s">
        <v>13</v>
      </c>
      <c r="F52" s="87" t="s">
        <v>35</v>
      </c>
      <c r="G52" s="87" t="s">
        <v>36</v>
      </c>
      <c r="H52" s="87" t="s">
        <v>30</v>
      </c>
      <c r="I52" s="87" t="s">
        <v>37</v>
      </c>
      <c r="J52" s="79" t="s">
        <v>171</v>
      </c>
      <c r="K52" s="87" t="s">
        <v>35</v>
      </c>
      <c r="L52" s="87" t="s">
        <v>36</v>
      </c>
      <c r="M52" s="87" t="s">
        <v>39</v>
      </c>
      <c r="N52" s="78" t="s">
        <v>38</v>
      </c>
      <c r="O52" s="205" t="s">
        <v>149</v>
      </c>
      <c r="P52" s="206"/>
      <c r="Q52" s="207"/>
      <c r="R52" s="42">
        <f t="shared" si="4"/>
        <v>39996.47948888878</v>
      </c>
      <c r="S52" s="149">
        <f t="shared" si="3"/>
        <v>342561378</v>
      </c>
      <c r="T52" s="149"/>
      <c r="U52" s="36">
        <f t="shared" si="5"/>
        <v>48</v>
      </c>
      <c r="V52" s="83">
        <f>IF(C36=60,"1 Day","")</f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8">
        <f t="shared" si="7"/>
        <v>51</v>
      </c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5" customHeight="1" thickTop="1">
      <c r="A53" s="1"/>
      <c r="B53" s="123" t="s">
        <v>82</v>
      </c>
      <c r="C53" s="124"/>
      <c r="D53" s="259"/>
      <c r="E53" s="230">
        <v>1000</v>
      </c>
      <c r="F53" s="151">
        <v>1</v>
      </c>
      <c r="G53" s="152">
        <v>1</v>
      </c>
      <c r="H53" s="153">
        <v>400</v>
      </c>
      <c r="I53" s="153">
        <v>0</v>
      </c>
      <c r="J53" s="152">
        <v>1</v>
      </c>
      <c r="K53" s="210" t="str">
        <f>IF(I53=0,"None",I53/F53)</f>
        <v>None</v>
      </c>
      <c r="L53" s="210" t="str">
        <f>IF(I53=0,"None",I53/G53)</f>
        <v>None</v>
      </c>
      <c r="M53" s="210" t="str">
        <f>IF(I53=0,"None",I53/(F53+G53))</f>
        <v>None</v>
      </c>
      <c r="N53" s="210">
        <f>IF(H53="Loot",0,I53/H53)</f>
        <v>0</v>
      </c>
      <c r="O53" s="185" t="s">
        <v>42</v>
      </c>
      <c r="P53" s="202">
        <f>SUM(E53:E85)</f>
        <v>2213</v>
      </c>
      <c r="Q53" s="204"/>
      <c r="R53" s="42">
        <f t="shared" si="4"/>
        <v>39996.52115555544</v>
      </c>
      <c r="S53" s="149">
        <f t="shared" si="3"/>
        <v>349538778</v>
      </c>
      <c r="T53" s="149"/>
      <c r="U53" s="36">
        <f t="shared" si="5"/>
        <v>49</v>
      </c>
      <c r="V53" s="83" t="str">
        <f>IF($C$13=60,"2 Days","")</f>
        <v>2 Days</v>
      </c>
      <c r="W53" s="8" t="s">
        <v>226</v>
      </c>
      <c r="X53" s="8" t="s">
        <v>227</v>
      </c>
      <c r="Y53" s="8" t="s">
        <v>228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8">
        <f t="shared" si="7"/>
        <v>52</v>
      </c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5" customHeight="1">
      <c r="A54" s="1"/>
      <c r="B54" s="123"/>
      <c r="C54" s="124"/>
      <c r="D54" s="256"/>
      <c r="E54" s="214"/>
      <c r="F54" s="129"/>
      <c r="G54" s="131"/>
      <c r="H54" s="135"/>
      <c r="I54" s="135"/>
      <c r="J54" s="131"/>
      <c r="K54" s="211"/>
      <c r="L54" s="211"/>
      <c r="M54" s="211"/>
      <c r="N54" s="211"/>
      <c r="O54" s="191"/>
      <c r="P54" s="196"/>
      <c r="Q54" s="200"/>
      <c r="R54" s="42">
        <f t="shared" si="4"/>
        <v>39996.562822222106</v>
      </c>
      <c r="S54" s="149">
        <f t="shared" si="3"/>
        <v>356516178</v>
      </c>
      <c r="T54" s="149"/>
      <c r="U54" s="36">
        <f t="shared" si="5"/>
        <v>50</v>
      </c>
      <c r="V54" s="2"/>
      <c r="W54" s="8">
        <f>E53*G53</f>
        <v>1000</v>
      </c>
      <c r="X54" s="8">
        <f>E53*F53</f>
        <v>1000</v>
      </c>
      <c r="Y54" s="8">
        <f>E53*I53</f>
        <v>0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8">
        <f t="shared" si="7"/>
        <v>53</v>
      </c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5" customHeight="1">
      <c r="A55" s="1"/>
      <c r="B55" s="123" t="s">
        <v>83</v>
      </c>
      <c r="C55" s="124"/>
      <c r="D55" s="256"/>
      <c r="E55" s="214">
        <v>1001</v>
      </c>
      <c r="F55" s="144">
        <v>2</v>
      </c>
      <c r="G55" s="145">
        <v>1</v>
      </c>
      <c r="H55" s="146">
        <v>700</v>
      </c>
      <c r="I55" s="146">
        <v>0</v>
      </c>
      <c r="J55" s="145">
        <v>1</v>
      </c>
      <c r="K55" s="221" t="str">
        <f>IF(I55=0,"None",I55/F55)</f>
        <v>None</v>
      </c>
      <c r="L55" s="221" t="str">
        <f>IF(I55=0,"None",I55/G55)</f>
        <v>None</v>
      </c>
      <c r="M55" s="221" t="str">
        <f>IF(I55=0,"None",I55/(F55+G55))</f>
        <v>None</v>
      </c>
      <c r="N55" s="210">
        <f>IF(H55="Loot",0,I55/H55)</f>
        <v>0</v>
      </c>
      <c r="O55" s="191" t="s">
        <v>37</v>
      </c>
      <c r="P55" s="192">
        <f>SUM(Y54:Y86)</f>
        <v>0</v>
      </c>
      <c r="Q55" s="225"/>
      <c r="R55" s="42">
        <f t="shared" si="4"/>
        <v>39996.60448888877</v>
      </c>
      <c r="S55" s="149">
        <f t="shared" si="3"/>
        <v>363493578</v>
      </c>
      <c r="T55" s="149"/>
      <c r="U55" s="36">
        <f t="shared" si="5"/>
        <v>51</v>
      </c>
      <c r="V55" s="2"/>
      <c r="W55" s="8"/>
      <c r="X55" s="8"/>
      <c r="Y55" s="8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8">
        <f t="shared" si="7"/>
        <v>54</v>
      </c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5" customHeight="1">
      <c r="A56" s="1"/>
      <c r="B56" s="123"/>
      <c r="C56" s="124"/>
      <c r="D56" s="256"/>
      <c r="E56" s="214"/>
      <c r="F56" s="144"/>
      <c r="G56" s="145"/>
      <c r="H56" s="146"/>
      <c r="I56" s="146"/>
      <c r="J56" s="145"/>
      <c r="K56" s="222"/>
      <c r="L56" s="222"/>
      <c r="M56" s="222"/>
      <c r="N56" s="211"/>
      <c r="O56" s="191"/>
      <c r="P56" s="192"/>
      <c r="Q56" s="225"/>
      <c r="R56" s="42">
        <f t="shared" si="4"/>
        <v>39996.646155555434</v>
      </c>
      <c r="S56" s="149">
        <f t="shared" si="3"/>
        <v>370470978</v>
      </c>
      <c r="T56" s="149"/>
      <c r="U56" s="36">
        <f t="shared" si="5"/>
        <v>52</v>
      </c>
      <c r="V56" s="2"/>
      <c r="W56" s="8">
        <f>E55*G55</f>
        <v>1001</v>
      </c>
      <c r="X56" s="8">
        <f>E55*F55</f>
        <v>2002</v>
      </c>
      <c r="Y56" s="8">
        <f>E55*I55</f>
        <v>0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8">
        <f t="shared" si="7"/>
        <v>55</v>
      </c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5" customHeight="1">
      <c r="A57" s="1"/>
      <c r="B57" s="123" t="s">
        <v>84</v>
      </c>
      <c r="C57" s="124"/>
      <c r="D57" s="256"/>
      <c r="E57" s="214">
        <v>100</v>
      </c>
      <c r="F57" s="129">
        <v>2</v>
      </c>
      <c r="G57" s="131">
        <v>2</v>
      </c>
      <c r="H57" s="135">
        <v>1200</v>
      </c>
      <c r="I57" s="135">
        <v>0</v>
      </c>
      <c r="J57" s="131">
        <v>2</v>
      </c>
      <c r="K57" s="210" t="str">
        <f>IF(I57=0,"None",I57/F57)</f>
        <v>None</v>
      </c>
      <c r="L57" s="210" t="str">
        <f>IF(I57=0,"None",I57/G57)</f>
        <v>None</v>
      </c>
      <c r="M57" s="210" t="str">
        <f>IF(I57=0,"None",I57/(F57+G57))</f>
        <v>None</v>
      </c>
      <c r="N57" s="210">
        <f>IF(H57="Loot",0,I57/H57)</f>
        <v>0</v>
      </c>
      <c r="O57" s="191" t="s">
        <v>35</v>
      </c>
      <c r="P57" s="196">
        <f>SUM(X54:X86)</f>
        <v>3618</v>
      </c>
      <c r="Q57" s="200"/>
      <c r="R57" s="42">
        <f t="shared" si="4"/>
        <v>39996.6878222221</v>
      </c>
      <c r="S57" s="149">
        <f t="shared" si="3"/>
        <v>377448378</v>
      </c>
      <c r="T57" s="149"/>
      <c r="U57" s="36">
        <f t="shared" si="5"/>
        <v>53</v>
      </c>
      <c r="V57" s="2"/>
      <c r="W57" s="8"/>
      <c r="X57" s="8"/>
      <c r="Y57" s="8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8">
        <f t="shared" si="7"/>
        <v>56</v>
      </c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5" customHeight="1">
      <c r="A58" s="1"/>
      <c r="B58" s="123"/>
      <c r="C58" s="124"/>
      <c r="D58" s="256"/>
      <c r="E58" s="214"/>
      <c r="F58" s="129"/>
      <c r="G58" s="131"/>
      <c r="H58" s="135"/>
      <c r="I58" s="135"/>
      <c r="J58" s="131"/>
      <c r="K58" s="211"/>
      <c r="L58" s="211"/>
      <c r="M58" s="211"/>
      <c r="N58" s="211"/>
      <c r="O58" s="191"/>
      <c r="P58" s="196"/>
      <c r="Q58" s="200"/>
      <c r="R58" s="42">
        <f t="shared" si="4"/>
        <v>39996.72948888876</v>
      </c>
      <c r="S58" s="149">
        <f t="shared" si="3"/>
        <v>384425778</v>
      </c>
      <c r="T58" s="149"/>
      <c r="U58" s="36">
        <f t="shared" si="5"/>
        <v>54</v>
      </c>
      <c r="V58" s="2"/>
      <c r="W58" s="8">
        <f>E57*G57</f>
        <v>200</v>
      </c>
      <c r="X58" s="8">
        <f>E57*F57</f>
        <v>200</v>
      </c>
      <c r="Y58" s="8">
        <f>E57*I57</f>
        <v>0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8">
        <f t="shared" si="7"/>
        <v>57</v>
      </c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5" customHeight="1">
      <c r="A59" s="1"/>
      <c r="B59" s="123" t="s">
        <v>85</v>
      </c>
      <c r="C59" s="124"/>
      <c r="D59" s="256"/>
      <c r="E59" s="214">
        <v>100</v>
      </c>
      <c r="F59" s="144">
        <v>4</v>
      </c>
      <c r="G59" s="145">
        <v>1</v>
      </c>
      <c r="H59" s="146">
        <v>1800</v>
      </c>
      <c r="I59" s="146">
        <v>0</v>
      </c>
      <c r="J59" s="145">
        <v>2</v>
      </c>
      <c r="K59" s="221" t="str">
        <f>IF(I59=0,"None",I59/F59)</f>
        <v>None</v>
      </c>
      <c r="L59" s="221" t="str">
        <f>IF(I59=0,"None",I59/G59)</f>
        <v>None</v>
      </c>
      <c r="M59" s="221" t="str">
        <f>IF(I59=0,"None",I59/(F59+G59))</f>
        <v>None</v>
      </c>
      <c r="N59" s="210">
        <f>IF(H59="Loot",0,I59/H59)</f>
        <v>0</v>
      </c>
      <c r="O59" s="191" t="s">
        <v>36</v>
      </c>
      <c r="P59" s="196">
        <f>SUM(W54:W86)</f>
        <v>2318</v>
      </c>
      <c r="Q59" s="200"/>
      <c r="R59" s="42">
        <f t="shared" si="4"/>
        <v>39996.77115555543</v>
      </c>
      <c r="S59" s="149">
        <f t="shared" si="3"/>
        <v>391403178</v>
      </c>
      <c r="T59" s="149"/>
      <c r="U59" s="36">
        <f t="shared" si="5"/>
        <v>55</v>
      </c>
      <c r="V59" s="2"/>
      <c r="W59" s="8"/>
      <c r="X59" s="8"/>
      <c r="Y59" s="8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8">
        <f t="shared" si="7"/>
        <v>58</v>
      </c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5" customHeight="1">
      <c r="A60" s="1"/>
      <c r="B60" s="123"/>
      <c r="C60" s="124"/>
      <c r="D60" s="256"/>
      <c r="E60" s="214"/>
      <c r="F60" s="144"/>
      <c r="G60" s="145"/>
      <c r="H60" s="146"/>
      <c r="I60" s="146"/>
      <c r="J60" s="145"/>
      <c r="K60" s="222"/>
      <c r="L60" s="222"/>
      <c r="M60" s="222"/>
      <c r="N60" s="211"/>
      <c r="O60" s="186"/>
      <c r="P60" s="198"/>
      <c r="Q60" s="201"/>
      <c r="R60" s="42">
        <f t="shared" si="4"/>
        <v>39996.81282222209</v>
      </c>
      <c r="S60" s="149">
        <f t="shared" si="3"/>
        <v>398380578</v>
      </c>
      <c r="T60" s="149"/>
      <c r="U60" s="36">
        <f t="shared" si="5"/>
        <v>56</v>
      </c>
      <c r="V60" s="2"/>
      <c r="W60" s="8">
        <f>E59*G59</f>
        <v>100</v>
      </c>
      <c r="X60" s="8">
        <f>E59*F59</f>
        <v>400</v>
      </c>
      <c r="Y60" s="8">
        <f>E59*I59</f>
        <v>0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8">
        <f t="shared" si="7"/>
        <v>59</v>
      </c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5" customHeight="1">
      <c r="A61" s="1"/>
      <c r="B61" s="123" t="s">
        <v>86</v>
      </c>
      <c r="C61" s="124"/>
      <c r="D61" s="256"/>
      <c r="E61" s="214">
        <v>0</v>
      </c>
      <c r="F61" s="129">
        <v>0</v>
      </c>
      <c r="G61" s="131">
        <v>6</v>
      </c>
      <c r="H61" s="135">
        <v>2500</v>
      </c>
      <c r="I61" s="135">
        <v>25</v>
      </c>
      <c r="J61" s="131">
        <v>8</v>
      </c>
      <c r="K61" s="210" t="s">
        <v>90</v>
      </c>
      <c r="L61" s="210">
        <f>IF(I61=0,"None",I61/G61)</f>
        <v>4.166666666666667</v>
      </c>
      <c r="M61" s="210">
        <f>IF(I61=0,"None",I61/(F61+G61))</f>
        <v>4.166666666666667</v>
      </c>
      <c r="N61" s="210">
        <f>IF(H61="Loot",0,I61/H61)</f>
        <v>0.01</v>
      </c>
      <c r="R61" s="42">
        <f t="shared" si="4"/>
        <v>39996.854488888755</v>
      </c>
      <c r="S61" s="149">
        <f t="shared" si="3"/>
        <v>405357978</v>
      </c>
      <c r="T61" s="149"/>
      <c r="U61" s="36">
        <f t="shared" si="5"/>
        <v>57</v>
      </c>
      <c r="V61" s="2"/>
      <c r="W61" s="8"/>
      <c r="X61" s="8"/>
      <c r="Y61" s="8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8">
        <f t="shared" si="7"/>
        <v>60</v>
      </c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5" customHeight="1">
      <c r="A62" s="1"/>
      <c r="B62" s="123"/>
      <c r="C62" s="124"/>
      <c r="D62" s="256"/>
      <c r="E62" s="214"/>
      <c r="F62" s="129"/>
      <c r="G62" s="131"/>
      <c r="H62" s="135"/>
      <c r="I62" s="135"/>
      <c r="J62" s="131"/>
      <c r="K62" s="244"/>
      <c r="L62" s="244"/>
      <c r="M62" s="244"/>
      <c r="N62" s="211"/>
      <c r="R62" s="42">
        <f t="shared" si="4"/>
        <v>39996.89615555542</v>
      </c>
      <c r="S62" s="149">
        <f t="shared" si="3"/>
        <v>412335378</v>
      </c>
      <c r="T62" s="149"/>
      <c r="U62" s="36">
        <f t="shared" si="5"/>
        <v>58</v>
      </c>
      <c r="V62" s="2"/>
      <c r="W62" s="8">
        <f>E61*G61</f>
        <v>0</v>
      </c>
      <c r="X62" s="8">
        <f>E61*F61</f>
        <v>0</v>
      </c>
      <c r="Y62" s="8">
        <f>E61*I61</f>
        <v>0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8" t="s">
        <v>25</v>
      </c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5" customHeight="1">
      <c r="A63" s="1"/>
      <c r="B63" s="123" t="s">
        <v>87</v>
      </c>
      <c r="C63" s="124"/>
      <c r="D63" s="256"/>
      <c r="E63" s="214">
        <v>0</v>
      </c>
      <c r="F63" s="144">
        <v>6</v>
      </c>
      <c r="G63" s="145">
        <v>1</v>
      </c>
      <c r="H63" s="146">
        <v>3500</v>
      </c>
      <c r="I63" s="146">
        <v>50</v>
      </c>
      <c r="J63" s="145"/>
      <c r="K63" s="245">
        <f>IF(I63=0,"None",I63/F63)</f>
        <v>8.333333333333334</v>
      </c>
      <c r="L63" s="245">
        <f>IF(I63=0,"None",I63/G63)</f>
        <v>50</v>
      </c>
      <c r="M63" s="245">
        <f>IF(I63=0,"None",I63/(F63+G63))</f>
        <v>7.142857142857143</v>
      </c>
      <c r="N63" s="210">
        <f>IF(H63="Loot",0,I63/H63)</f>
        <v>0.014285714285714285</v>
      </c>
      <c r="O63" s="93"/>
      <c r="P63" s="94"/>
      <c r="Q63" s="94"/>
      <c r="R63" s="42">
        <f t="shared" si="4"/>
        <v>39996.937822222084</v>
      </c>
      <c r="S63" s="149">
        <f t="shared" si="3"/>
        <v>419312778</v>
      </c>
      <c r="T63" s="149"/>
      <c r="U63" s="36">
        <f t="shared" si="5"/>
        <v>59</v>
      </c>
      <c r="V63" s="83">
        <f>IF($C$13=50,"2 Days","")</f>
      </c>
      <c r="W63" s="8"/>
      <c r="X63" s="8"/>
      <c r="Y63" s="8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8" t="s">
        <v>5</v>
      </c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5" customHeight="1">
      <c r="A64" s="1"/>
      <c r="B64" s="123"/>
      <c r="C64" s="124"/>
      <c r="D64" s="256"/>
      <c r="E64" s="214"/>
      <c r="F64" s="144"/>
      <c r="G64" s="145"/>
      <c r="H64" s="146"/>
      <c r="I64" s="146"/>
      <c r="J64" s="145"/>
      <c r="K64" s="222"/>
      <c r="L64" s="222"/>
      <c r="M64" s="222"/>
      <c r="N64" s="211"/>
      <c r="R64" s="42">
        <f t="shared" si="4"/>
        <v>39996.97948888875</v>
      </c>
      <c r="S64" s="149">
        <f t="shared" si="3"/>
        <v>426290178</v>
      </c>
      <c r="T64" s="149"/>
      <c r="U64" s="36">
        <f t="shared" si="5"/>
        <v>60</v>
      </c>
      <c r="V64" s="2"/>
      <c r="W64" s="8">
        <f>E63*G63</f>
        <v>0</v>
      </c>
      <c r="X64" s="8">
        <f>E63*F63</f>
        <v>0</v>
      </c>
      <c r="Y64" s="8">
        <f>E63*I63</f>
        <v>0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82" t="s">
        <v>14</v>
      </c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5" customHeight="1">
      <c r="A65" s="1"/>
      <c r="B65" s="123" t="s">
        <v>89</v>
      </c>
      <c r="C65" s="124"/>
      <c r="D65" s="256"/>
      <c r="E65" s="214">
        <v>0</v>
      </c>
      <c r="F65" s="129">
        <v>3</v>
      </c>
      <c r="G65" s="131">
        <v>5</v>
      </c>
      <c r="H65" s="135">
        <v>5000</v>
      </c>
      <c r="I65" s="135">
        <v>100</v>
      </c>
      <c r="J65" s="131"/>
      <c r="K65" s="210">
        <f>IF(I65=0,"None",I65/F65)</f>
        <v>33.333333333333336</v>
      </c>
      <c r="L65" s="210">
        <f>IF(I65=0,"None",I65/G65)</f>
        <v>20</v>
      </c>
      <c r="M65" s="210">
        <f>IF(I65=0,"None",I65/(F65+G65))</f>
        <v>12.5</v>
      </c>
      <c r="N65" s="210">
        <f>IF(H65="Loot",0,I65/H65)</f>
        <v>0.02</v>
      </c>
      <c r="R65" s="42">
        <f t="shared" si="4"/>
        <v>39997.02115555541</v>
      </c>
      <c r="S65" s="149">
        <f t="shared" si="3"/>
        <v>433267578</v>
      </c>
      <c r="T65" s="149"/>
      <c r="U65" s="36">
        <f t="shared" si="5"/>
        <v>61</v>
      </c>
      <c r="V65" s="2"/>
      <c r="W65" s="8"/>
      <c r="X65" s="8"/>
      <c r="Y65" s="8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82" t="s">
        <v>36</v>
      </c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5" customHeight="1">
      <c r="A66" s="1"/>
      <c r="B66" s="123"/>
      <c r="C66" s="124"/>
      <c r="D66" s="256"/>
      <c r="E66" s="214"/>
      <c r="F66" s="129"/>
      <c r="G66" s="131"/>
      <c r="H66" s="135"/>
      <c r="I66" s="135"/>
      <c r="J66" s="131"/>
      <c r="K66" s="211"/>
      <c r="L66" s="211"/>
      <c r="M66" s="211"/>
      <c r="N66" s="211"/>
      <c r="R66" s="42">
        <f t="shared" si="4"/>
        <v>39997.06282222208</v>
      </c>
      <c r="S66" s="149">
        <f t="shared" si="3"/>
        <v>440244978</v>
      </c>
      <c r="T66" s="149"/>
      <c r="U66" s="36">
        <f t="shared" si="5"/>
        <v>62</v>
      </c>
      <c r="V66" s="2"/>
      <c r="W66" s="8">
        <f>E65*G65</f>
        <v>0</v>
      </c>
      <c r="X66" s="8">
        <f>E65*F65</f>
        <v>0</v>
      </c>
      <c r="Y66" s="8">
        <f>E65*I65</f>
        <v>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82">
        <v>0</v>
      </c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5" customHeight="1">
      <c r="A67" s="1"/>
      <c r="B67" s="123" t="s">
        <v>144</v>
      </c>
      <c r="C67" s="124"/>
      <c r="D67" s="256"/>
      <c r="E67" s="214">
        <v>0</v>
      </c>
      <c r="F67" s="144">
        <v>5</v>
      </c>
      <c r="G67" s="145">
        <v>4</v>
      </c>
      <c r="H67" s="146">
        <v>7500</v>
      </c>
      <c r="I67" s="146">
        <v>200</v>
      </c>
      <c r="J67" s="145">
        <v>24</v>
      </c>
      <c r="K67" s="221">
        <f>IF(I67=0,"None",I67/F67)</f>
        <v>40</v>
      </c>
      <c r="L67" s="221">
        <f>IF(I67=0,"None",I67/G67)</f>
        <v>50</v>
      </c>
      <c r="M67" s="221">
        <f>IF(I67=0,"None",I67/(F67+G67))</f>
        <v>22.22222222222222</v>
      </c>
      <c r="N67" s="210">
        <f>IF(H67="Loot",0,I67/H67)</f>
        <v>0.02666666666666667</v>
      </c>
      <c r="R67" s="42">
        <f t="shared" si="4"/>
        <v>39997.10448888874</v>
      </c>
      <c r="S67" s="149">
        <f t="shared" si="3"/>
        <v>447222378</v>
      </c>
      <c r="T67" s="149"/>
      <c r="U67" s="36">
        <f t="shared" si="5"/>
        <v>63</v>
      </c>
      <c r="V67" s="2"/>
      <c r="W67" s="8"/>
      <c r="X67" s="8"/>
      <c r="Y67" s="8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82">
        <v>1</v>
      </c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5" customHeight="1">
      <c r="A68" s="1"/>
      <c r="B68" s="123"/>
      <c r="C68" s="124"/>
      <c r="D68" s="256"/>
      <c r="E68" s="214"/>
      <c r="F68" s="144"/>
      <c r="G68" s="145"/>
      <c r="H68" s="146"/>
      <c r="I68" s="146"/>
      <c r="J68" s="145"/>
      <c r="K68" s="222"/>
      <c r="L68" s="222"/>
      <c r="M68" s="252"/>
      <c r="N68" s="211"/>
      <c r="O68" s="1"/>
      <c r="P68" s="1"/>
      <c r="Q68" s="1"/>
      <c r="R68" s="42">
        <f t="shared" si="4"/>
        <v>39997.146155555405</v>
      </c>
      <c r="S68" s="149">
        <f t="shared" si="3"/>
        <v>454199778</v>
      </c>
      <c r="T68" s="149"/>
      <c r="U68" s="36">
        <f t="shared" si="5"/>
        <v>64</v>
      </c>
      <c r="V68" s="2"/>
      <c r="W68" s="8">
        <f>E67*G67</f>
        <v>0</v>
      </c>
      <c r="X68" s="8">
        <f>E67*F67</f>
        <v>0</v>
      </c>
      <c r="Y68" s="8">
        <f>E67*I67</f>
        <v>0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14" t="s">
        <v>54</v>
      </c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5" customHeight="1">
      <c r="A69" s="1"/>
      <c r="B69" s="123" t="s">
        <v>130</v>
      </c>
      <c r="C69" s="124"/>
      <c r="D69" s="256"/>
      <c r="E69" s="214">
        <v>0</v>
      </c>
      <c r="F69" s="129">
        <v>9</v>
      </c>
      <c r="G69" s="131">
        <v>2</v>
      </c>
      <c r="H69" s="135">
        <v>12000</v>
      </c>
      <c r="I69" s="135">
        <v>400</v>
      </c>
      <c r="J69" s="131">
        <v>30</v>
      </c>
      <c r="K69" s="210">
        <f>IF(I69=0,"None",I69/F69)</f>
        <v>44.44444444444444</v>
      </c>
      <c r="L69" s="210">
        <f>IF(I69=0,"None",I69/G69)</f>
        <v>200</v>
      </c>
      <c r="M69" s="210">
        <f>IF(I69=0,"None",I69/(F69+G69))</f>
        <v>36.36363636363637</v>
      </c>
      <c r="N69" s="210">
        <f>IF(H69="Loot",0,I69/H69)</f>
        <v>0.03333333333333333</v>
      </c>
      <c r="O69" s="1"/>
      <c r="P69" s="1"/>
      <c r="Q69" s="1"/>
      <c r="R69" s="42">
        <f t="shared" si="4"/>
        <v>39997.18782222207</v>
      </c>
      <c r="S69" s="149">
        <f aca="true" t="shared" si="8" ref="S69:S132">S68+$P$19</f>
        <v>461177178</v>
      </c>
      <c r="T69" s="149"/>
      <c r="U69" s="36">
        <f t="shared" si="5"/>
        <v>65</v>
      </c>
      <c r="V69" s="2"/>
      <c r="W69" s="8"/>
      <c r="X69" s="8"/>
      <c r="Y69" s="8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14" t="s">
        <v>55</v>
      </c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5" customHeight="1">
      <c r="A70" s="1"/>
      <c r="B70" s="123"/>
      <c r="C70" s="124"/>
      <c r="D70" s="256"/>
      <c r="E70" s="214"/>
      <c r="F70" s="129"/>
      <c r="G70" s="131"/>
      <c r="H70" s="135"/>
      <c r="I70" s="135"/>
      <c r="J70" s="131"/>
      <c r="K70" s="211"/>
      <c r="L70" s="211"/>
      <c r="M70" s="211"/>
      <c r="N70" s="211"/>
      <c r="O70" s="1"/>
      <c r="P70" s="1"/>
      <c r="Q70" s="1"/>
      <c r="R70" s="42">
        <f aca="true" t="shared" si="9" ref="R70:R133">R69+TIME(0,$C$13,0)</f>
        <v>39997.22948888873</v>
      </c>
      <c r="S70" s="149">
        <f t="shared" si="8"/>
        <v>468154578</v>
      </c>
      <c r="T70" s="149"/>
      <c r="U70" s="36">
        <f aca="true" t="shared" si="10" ref="U70:U133">U69+1</f>
        <v>66</v>
      </c>
      <c r="V70" s="2"/>
      <c r="W70" s="8">
        <f>E69*G69</f>
        <v>0</v>
      </c>
      <c r="X70" s="8">
        <f>E69*F69</f>
        <v>0</v>
      </c>
      <c r="Y70" s="8">
        <f>E69*I69</f>
        <v>0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8" t="s">
        <v>56</v>
      </c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5" customHeight="1">
      <c r="A71" s="1"/>
      <c r="B71" s="123" t="s">
        <v>132</v>
      </c>
      <c r="C71" s="124"/>
      <c r="D71" s="256"/>
      <c r="E71" s="214">
        <v>0</v>
      </c>
      <c r="F71" s="144">
        <v>6</v>
      </c>
      <c r="G71" s="145">
        <v>6</v>
      </c>
      <c r="H71" s="146">
        <v>16000</v>
      </c>
      <c r="I71" s="146">
        <v>750</v>
      </c>
      <c r="J71" s="145"/>
      <c r="K71" s="221">
        <f>IF(I71=0,"None",I71/F71)</f>
        <v>125</v>
      </c>
      <c r="L71" s="221">
        <f>IF(I71=0,"None",I71/G71)</f>
        <v>125</v>
      </c>
      <c r="M71" s="221">
        <f>IF(I71=0,"None",I71/(F71+G71))</f>
        <v>62.5</v>
      </c>
      <c r="N71" s="210">
        <f>IF(H71="Loot",0,I71/H71)</f>
        <v>0.046875</v>
      </c>
      <c r="O71" s="1"/>
      <c r="P71" s="1"/>
      <c r="Q71" s="1"/>
      <c r="R71" s="42">
        <f t="shared" si="9"/>
        <v>39997.2711555554</v>
      </c>
      <c r="S71" s="149">
        <f t="shared" si="8"/>
        <v>475131978</v>
      </c>
      <c r="T71" s="149"/>
      <c r="U71" s="36">
        <f t="shared" si="10"/>
        <v>67</v>
      </c>
      <c r="V71" s="2"/>
      <c r="W71" s="8"/>
      <c r="X71" s="8"/>
      <c r="Y71" s="8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8" t="s">
        <v>57</v>
      </c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5" customHeight="1">
      <c r="A72" s="1"/>
      <c r="B72" s="123"/>
      <c r="C72" s="124"/>
      <c r="D72" s="256"/>
      <c r="E72" s="214"/>
      <c r="F72" s="144"/>
      <c r="G72" s="145"/>
      <c r="H72" s="146"/>
      <c r="I72" s="146"/>
      <c r="J72" s="145"/>
      <c r="K72" s="222"/>
      <c r="L72" s="222"/>
      <c r="M72" s="222"/>
      <c r="N72" s="211"/>
      <c r="O72" s="1"/>
      <c r="P72" s="1"/>
      <c r="Q72" s="1"/>
      <c r="R72" s="42">
        <f t="shared" si="9"/>
        <v>39997.31282222206</v>
      </c>
      <c r="S72" s="149">
        <f t="shared" si="8"/>
        <v>482109378</v>
      </c>
      <c r="T72" s="149"/>
      <c r="U72" s="36">
        <f t="shared" si="10"/>
        <v>68</v>
      </c>
      <c r="V72" s="2"/>
      <c r="W72" s="8">
        <f>E71*G71</f>
        <v>0</v>
      </c>
      <c r="X72" s="8">
        <f>E71*F71</f>
        <v>0</v>
      </c>
      <c r="Y72" s="8">
        <f>E71*I71</f>
        <v>0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8" t="s">
        <v>58</v>
      </c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5" customHeight="1">
      <c r="A73" s="1"/>
      <c r="B73" s="123" t="s">
        <v>91</v>
      </c>
      <c r="C73" s="124"/>
      <c r="D73" s="256"/>
      <c r="E73" s="214">
        <v>2</v>
      </c>
      <c r="F73" s="129">
        <v>0</v>
      </c>
      <c r="G73" s="131">
        <v>1</v>
      </c>
      <c r="H73" s="216" t="s">
        <v>41</v>
      </c>
      <c r="I73" s="135">
        <v>0</v>
      </c>
      <c r="J73" s="131">
        <v>1</v>
      </c>
      <c r="K73" s="210" t="str">
        <f>IF(I73=0,"None",I73/F73)</f>
        <v>None</v>
      </c>
      <c r="L73" s="210" t="str">
        <f>IF(I73=0,"None",I73/G73)</f>
        <v>None</v>
      </c>
      <c r="M73" s="210" t="str">
        <f>IF(I73=0,"None",I73/(F73+G73))</f>
        <v>None</v>
      </c>
      <c r="N73" s="210">
        <f>IF(H73="Loot",0,I73/H73)</f>
        <v>0</v>
      </c>
      <c r="O73" s="1"/>
      <c r="P73" s="1"/>
      <c r="Q73" s="1"/>
      <c r="R73" s="42">
        <f t="shared" si="9"/>
        <v>39997.354488888726</v>
      </c>
      <c r="S73" s="149">
        <f t="shared" si="8"/>
        <v>489086778</v>
      </c>
      <c r="T73" s="149"/>
      <c r="U73" s="36">
        <f t="shared" si="10"/>
        <v>69</v>
      </c>
      <c r="V73" s="2"/>
      <c r="W73" s="8"/>
      <c r="X73" s="8"/>
      <c r="Y73" s="8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8" t="s">
        <v>200</v>
      </c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5" customHeight="1">
      <c r="A74" s="1"/>
      <c r="B74" s="123"/>
      <c r="C74" s="124"/>
      <c r="D74" s="256"/>
      <c r="E74" s="214"/>
      <c r="F74" s="129"/>
      <c r="G74" s="131"/>
      <c r="H74" s="216"/>
      <c r="I74" s="135"/>
      <c r="J74" s="131"/>
      <c r="K74" s="211"/>
      <c r="L74" s="211"/>
      <c r="M74" s="211"/>
      <c r="N74" s="211"/>
      <c r="O74" s="1"/>
      <c r="P74" s="1"/>
      <c r="Q74" s="1"/>
      <c r="R74" s="42">
        <f t="shared" si="9"/>
        <v>39997.39615555539</v>
      </c>
      <c r="S74" s="149">
        <f t="shared" si="8"/>
        <v>496064178</v>
      </c>
      <c r="T74" s="149"/>
      <c r="U74" s="36">
        <f t="shared" si="10"/>
        <v>70</v>
      </c>
      <c r="V74" s="2"/>
      <c r="W74" s="8">
        <f>E73*G73</f>
        <v>2</v>
      </c>
      <c r="X74" s="8">
        <f>E73*F73</f>
        <v>0</v>
      </c>
      <c r="Y74" s="8">
        <f>E73*I73</f>
        <v>0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 t="s">
        <v>201</v>
      </c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5" customHeight="1">
      <c r="A75" s="1"/>
      <c r="B75" s="123" t="s">
        <v>143</v>
      </c>
      <c r="C75" s="124"/>
      <c r="D75" s="256"/>
      <c r="E75" s="214">
        <v>1</v>
      </c>
      <c r="F75" s="144">
        <v>1</v>
      </c>
      <c r="G75" s="145">
        <v>0</v>
      </c>
      <c r="H75" s="223" t="s">
        <v>41</v>
      </c>
      <c r="I75" s="231">
        <v>0</v>
      </c>
      <c r="J75" s="258">
        <v>2</v>
      </c>
      <c r="K75" s="237" t="str">
        <f>IF(I75=0,"None",I75/F75)</f>
        <v>None</v>
      </c>
      <c r="L75" s="237" t="str">
        <f>IF(I75=0,"None",I75/G75)</f>
        <v>None</v>
      </c>
      <c r="M75" s="237" t="str">
        <f>IF(I75=0,"None",I75/(F75+G75))</f>
        <v>None</v>
      </c>
      <c r="N75" s="210">
        <f>IF(H75="Loot",0,I75/H75)</f>
        <v>0</v>
      </c>
      <c r="O75" s="1"/>
      <c r="P75" s="1"/>
      <c r="Q75" s="1"/>
      <c r="R75" s="42">
        <f t="shared" si="9"/>
        <v>39997.437822222055</v>
      </c>
      <c r="S75" s="149">
        <f t="shared" si="8"/>
        <v>503041578</v>
      </c>
      <c r="T75" s="149"/>
      <c r="U75" s="36">
        <f t="shared" si="10"/>
        <v>71</v>
      </c>
      <c r="V75" s="2"/>
      <c r="W75" s="8"/>
      <c r="X75" s="8"/>
      <c r="Y75" s="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5" customHeight="1">
      <c r="A76" s="1"/>
      <c r="B76" s="123"/>
      <c r="C76" s="124"/>
      <c r="D76" s="256"/>
      <c r="E76" s="214"/>
      <c r="F76" s="144"/>
      <c r="G76" s="145"/>
      <c r="H76" s="223"/>
      <c r="I76" s="231"/>
      <c r="J76" s="258"/>
      <c r="K76" s="238"/>
      <c r="L76" s="238"/>
      <c r="M76" s="238"/>
      <c r="N76" s="211"/>
      <c r="O76" s="1"/>
      <c r="P76" s="1"/>
      <c r="Q76" s="1"/>
      <c r="R76" s="42">
        <f t="shared" si="9"/>
        <v>39997.47948888872</v>
      </c>
      <c r="S76" s="149">
        <f t="shared" si="8"/>
        <v>510018978</v>
      </c>
      <c r="T76" s="149"/>
      <c r="U76" s="36">
        <f t="shared" si="10"/>
        <v>72</v>
      </c>
      <c r="V76" s="2"/>
      <c r="W76" s="8">
        <f>E75*G75</f>
        <v>0</v>
      </c>
      <c r="X76" s="8">
        <f>E75*F75</f>
        <v>1</v>
      </c>
      <c r="Y76" s="8">
        <f>E75*I75</f>
        <v>0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5" customHeight="1">
      <c r="A77" s="1"/>
      <c r="B77" s="123" t="s">
        <v>124</v>
      </c>
      <c r="C77" s="124"/>
      <c r="D77" s="256"/>
      <c r="E77" s="214">
        <v>6</v>
      </c>
      <c r="F77" s="129">
        <v>1</v>
      </c>
      <c r="G77" s="131">
        <v>2</v>
      </c>
      <c r="H77" s="216" t="s">
        <v>41</v>
      </c>
      <c r="I77" s="135">
        <v>0</v>
      </c>
      <c r="J77" s="131">
        <v>5</v>
      </c>
      <c r="K77" s="210" t="str">
        <f>IF(I77=0,"None",I77/F77)</f>
        <v>None</v>
      </c>
      <c r="L77" s="210" t="str">
        <f>IF(I77=0,"None",I77/G77)</f>
        <v>None</v>
      </c>
      <c r="M77" s="210" t="str">
        <f>IF(I77=0,"None",I77/(F77+G77))</f>
        <v>None</v>
      </c>
      <c r="N77" s="210">
        <f>IF(H77="Loot",0,I77/H77)</f>
        <v>0</v>
      </c>
      <c r="O77" s="1"/>
      <c r="P77" s="95"/>
      <c r="Q77" s="1"/>
      <c r="R77" s="42">
        <f t="shared" si="9"/>
        <v>39997.52115555538</v>
      </c>
      <c r="S77" s="149">
        <f t="shared" si="8"/>
        <v>516996378</v>
      </c>
      <c r="T77" s="149"/>
      <c r="U77" s="36">
        <f t="shared" si="10"/>
        <v>73</v>
      </c>
      <c r="V77" s="83" t="str">
        <f>IF($C$13=60,"3 Days","")</f>
        <v>3 Days</v>
      </c>
      <c r="W77" s="8"/>
      <c r="X77" s="8"/>
      <c r="Y77" s="8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5" customHeight="1">
      <c r="A78" s="1"/>
      <c r="B78" s="123"/>
      <c r="C78" s="124"/>
      <c r="D78" s="256"/>
      <c r="E78" s="214"/>
      <c r="F78" s="129"/>
      <c r="G78" s="131"/>
      <c r="H78" s="216"/>
      <c r="I78" s="135"/>
      <c r="J78" s="131"/>
      <c r="K78" s="211"/>
      <c r="L78" s="211"/>
      <c r="M78" s="211"/>
      <c r="N78" s="211"/>
      <c r="O78" s="1"/>
      <c r="P78" s="95"/>
      <c r="Q78" s="1"/>
      <c r="R78" s="42">
        <f t="shared" si="9"/>
        <v>39997.56282222205</v>
      </c>
      <c r="S78" s="149">
        <f t="shared" si="8"/>
        <v>523973778</v>
      </c>
      <c r="T78" s="149"/>
      <c r="U78" s="36">
        <f t="shared" si="10"/>
        <v>74</v>
      </c>
      <c r="V78" s="2"/>
      <c r="W78" s="8">
        <f>E77*G77</f>
        <v>12</v>
      </c>
      <c r="X78" s="8">
        <f>E77*F77</f>
        <v>6</v>
      </c>
      <c r="Y78" s="8">
        <f>E77*I77</f>
        <v>0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5" customHeight="1">
      <c r="A79" s="1"/>
      <c r="B79" s="123" t="s">
        <v>137</v>
      </c>
      <c r="C79" s="124"/>
      <c r="D79" s="256"/>
      <c r="E79" s="214">
        <v>3</v>
      </c>
      <c r="F79" s="144">
        <v>3</v>
      </c>
      <c r="G79" s="145">
        <v>1</v>
      </c>
      <c r="H79" s="223" t="s">
        <v>41</v>
      </c>
      <c r="I79" s="146">
        <v>0</v>
      </c>
      <c r="J79" s="258"/>
      <c r="K79" s="221" t="str">
        <f>IF(I79=0,"None",I79/F79)</f>
        <v>None</v>
      </c>
      <c r="L79" s="221" t="str">
        <f>IF(I79=0,"None",I79/G79)</f>
        <v>None</v>
      </c>
      <c r="M79" s="221" t="str">
        <f>IF(I79=0,"None",I79/(F79+G79))</f>
        <v>None</v>
      </c>
      <c r="N79" s="210">
        <f>IF(H79="Loot",0,I79/H79)</f>
        <v>0</v>
      </c>
      <c r="O79" s="1"/>
      <c r="P79" s="96"/>
      <c r="Q79" s="1"/>
      <c r="R79" s="42">
        <f t="shared" si="9"/>
        <v>39997.60448888871</v>
      </c>
      <c r="S79" s="149">
        <f t="shared" si="8"/>
        <v>530951178</v>
      </c>
      <c r="T79" s="149"/>
      <c r="U79" s="36">
        <f t="shared" si="10"/>
        <v>75</v>
      </c>
      <c r="V79" s="2"/>
      <c r="W79" s="8"/>
      <c r="X79" s="8"/>
      <c r="Y79" s="8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5" customHeight="1">
      <c r="A80" s="1"/>
      <c r="B80" s="123"/>
      <c r="C80" s="124"/>
      <c r="D80" s="256"/>
      <c r="E80" s="214"/>
      <c r="F80" s="144"/>
      <c r="G80" s="145"/>
      <c r="H80" s="223"/>
      <c r="I80" s="146"/>
      <c r="J80" s="258"/>
      <c r="K80" s="222"/>
      <c r="L80" s="222"/>
      <c r="M80" s="222"/>
      <c r="N80" s="211"/>
      <c r="O80" s="1"/>
      <c r="P80" s="96"/>
      <c r="Q80" s="1"/>
      <c r="R80" s="42">
        <f t="shared" si="9"/>
        <v>39997.646155555376</v>
      </c>
      <c r="S80" s="149">
        <f t="shared" si="8"/>
        <v>537928578</v>
      </c>
      <c r="T80" s="149"/>
      <c r="U80" s="36">
        <f t="shared" si="10"/>
        <v>76</v>
      </c>
      <c r="V80" s="2"/>
      <c r="W80" s="8">
        <f>E79*G79</f>
        <v>3</v>
      </c>
      <c r="X80" s="8">
        <f>E79*F79</f>
        <v>9</v>
      </c>
      <c r="Y80" s="8">
        <f>E79*I79</f>
        <v>0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5" customHeight="1">
      <c r="A81" s="1"/>
      <c r="B81" s="123" t="s">
        <v>129</v>
      </c>
      <c r="C81" s="124"/>
      <c r="D81" s="256"/>
      <c r="E81" s="214">
        <v>0</v>
      </c>
      <c r="F81" s="129">
        <v>6</v>
      </c>
      <c r="G81" s="131">
        <v>3</v>
      </c>
      <c r="H81" s="216" t="s">
        <v>41</v>
      </c>
      <c r="I81" s="135">
        <v>250</v>
      </c>
      <c r="J81" s="131"/>
      <c r="K81" s="210">
        <f>IF(I81=0,"None",I81/F81)</f>
        <v>41.666666666666664</v>
      </c>
      <c r="L81" s="210">
        <f>IF(I81=0,"None",I81/G81)</f>
        <v>83.33333333333333</v>
      </c>
      <c r="M81" s="210">
        <f>IF(I81=0,"None",I81/(F81+G81))</f>
        <v>27.77777777777778</v>
      </c>
      <c r="N81" s="210">
        <f>IF(H81="Loot",0,I81/H81)</f>
        <v>0</v>
      </c>
      <c r="O81" s="1"/>
      <c r="P81" s="96"/>
      <c r="Q81" s="1"/>
      <c r="R81" s="42">
        <f t="shared" si="9"/>
        <v>39997.68782222204</v>
      </c>
      <c r="S81" s="149">
        <f t="shared" si="8"/>
        <v>544905978</v>
      </c>
      <c r="T81" s="149"/>
      <c r="U81" s="36">
        <f t="shared" si="10"/>
        <v>77</v>
      </c>
      <c r="V81" s="2"/>
      <c r="W81" s="8"/>
      <c r="X81" s="8"/>
      <c r="Y81" s="8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5" customHeight="1">
      <c r="A82" s="1"/>
      <c r="B82" s="123"/>
      <c r="C82" s="124"/>
      <c r="D82" s="256"/>
      <c r="E82" s="214"/>
      <c r="F82" s="129"/>
      <c r="G82" s="131"/>
      <c r="H82" s="216"/>
      <c r="I82" s="135"/>
      <c r="J82" s="131"/>
      <c r="K82" s="211"/>
      <c r="L82" s="211"/>
      <c r="M82" s="211"/>
      <c r="N82" s="211"/>
      <c r="O82" s="1"/>
      <c r="P82" s="96"/>
      <c r="Q82" s="1"/>
      <c r="R82" s="42">
        <f t="shared" si="9"/>
        <v>39997.729488888705</v>
      </c>
      <c r="S82" s="149">
        <f t="shared" si="8"/>
        <v>551883378</v>
      </c>
      <c r="T82" s="149"/>
      <c r="U82" s="36">
        <f t="shared" si="10"/>
        <v>78</v>
      </c>
      <c r="V82" s="2"/>
      <c r="W82" s="8">
        <f>E81*G81</f>
        <v>0</v>
      </c>
      <c r="X82" s="8">
        <f>E81*F81</f>
        <v>0</v>
      </c>
      <c r="Y82" s="8">
        <f>E81*I81</f>
        <v>0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5" customHeight="1">
      <c r="A83" s="1"/>
      <c r="B83" s="123" t="s">
        <v>128</v>
      </c>
      <c r="C83" s="124"/>
      <c r="D83" s="256"/>
      <c r="E83" s="214">
        <v>0</v>
      </c>
      <c r="F83" s="144">
        <v>4</v>
      </c>
      <c r="G83" s="145">
        <v>7</v>
      </c>
      <c r="H83" s="223" t="s">
        <v>41</v>
      </c>
      <c r="I83" s="146">
        <v>360</v>
      </c>
      <c r="J83" s="258"/>
      <c r="K83" s="221">
        <f>IF(I83=0,"None",I83/F83)</f>
        <v>90</v>
      </c>
      <c r="L83" s="221">
        <f>IF(I83=0,"None",I83/G83)</f>
        <v>51.42857142857143</v>
      </c>
      <c r="M83" s="221">
        <f>IF(I83=0,"None",I83/(F83+G83))</f>
        <v>32.72727272727273</v>
      </c>
      <c r="N83" s="210">
        <f>IF(H83="Loot",0,I83/H83)</f>
        <v>0</v>
      </c>
      <c r="O83" s="1"/>
      <c r="P83" s="96"/>
      <c r="Q83" s="1"/>
      <c r="R83" s="42">
        <f t="shared" si="9"/>
        <v>39997.77115555537</v>
      </c>
      <c r="S83" s="149">
        <f t="shared" si="8"/>
        <v>558860778</v>
      </c>
      <c r="T83" s="149"/>
      <c r="U83" s="36">
        <f t="shared" si="10"/>
        <v>79</v>
      </c>
      <c r="V83" s="2"/>
      <c r="W83" s="8"/>
      <c r="X83" s="8"/>
      <c r="Y83" s="8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5">
      <c r="A84" s="1"/>
      <c r="B84" s="123"/>
      <c r="C84" s="124"/>
      <c r="D84" s="256"/>
      <c r="E84" s="214"/>
      <c r="F84" s="144"/>
      <c r="G84" s="145"/>
      <c r="H84" s="223"/>
      <c r="I84" s="146"/>
      <c r="J84" s="258"/>
      <c r="K84" s="222"/>
      <c r="L84" s="222"/>
      <c r="M84" s="222"/>
      <c r="N84" s="211"/>
      <c r="O84" s="1"/>
      <c r="P84" s="96"/>
      <c r="Q84" s="1"/>
      <c r="R84" s="42">
        <f t="shared" si="9"/>
        <v>39997.81282222203</v>
      </c>
      <c r="S84" s="149">
        <f t="shared" si="8"/>
        <v>565838178</v>
      </c>
      <c r="T84" s="149"/>
      <c r="U84" s="36">
        <f t="shared" si="10"/>
        <v>80</v>
      </c>
      <c r="V84" s="2"/>
      <c r="W84" s="8">
        <f>E83*G83</f>
        <v>0</v>
      </c>
      <c r="X84" s="8">
        <f>E83*F83</f>
        <v>0</v>
      </c>
      <c r="Y84" s="8">
        <f>E83*I83</f>
        <v>0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5" customHeight="1">
      <c r="A85" s="97"/>
      <c r="B85" s="123" t="s">
        <v>127</v>
      </c>
      <c r="C85" s="124"/>
      <c r="D85" s="256"/>
      <c r="E85" s="214">
        <v>0</v>
      </c>
      <c r="F85" s="129">
        <v>10</v>
      </c>
      <c r="G85" s="131">
        <v>5</v>
      </c>
      <c r="H85" s="216" t="s">
        <v>41</v>
      </c>
      <c r="I85" s="135">
        <v>1200</v>
      </c>
      <c r="J85" s="139"/>
      <c r="K85" s="210">
        <f>IF(I85=0,"None",I85/F85)</f>
        <v>120</v>
      </c>
      <c r="L85" s="210">
        <f>IF(I85=0,"None",I85/G85)</f>
        <v>240</v>
      </c>
      <c r="M85" s="210">
        <f>IF(I85=0,"None",I85/(F85+G85))</f>
        <v>80</v>
      </c>
      <c r="N85" s="210">
        <f>IF(H85="Loot",0,I85/H85)</f>
        <v>0</v>
      </c>
      <c r="O85" s="1"/>
      <c r="P85" s="96"/>
      <c r="Q85" s="1"/>
      <c r="R85" s="42">
        <f t="shared" si="9"/>
        <v>39997.8544888887</v>
      </c>
      <c r="S85" s="149">
        <f t="shared" si="8"/>
        <v>572815578</v>
      </c>
      <c r="T85" s="149"/>
      <c r="U85" s="36">
        <f t="shared" si="10"/>
        <v>81</v>
      </c>
      <c r="V85" s="2"/>
      <c r="W85" s="8"/>
      <c r="X85" s="8"/>
      <c r="Y85" s="8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5" customHeight="1">
      <c r="A86" s="97"/>
      <c r="B86" s="126"/>
      <c r="C86" s="127"/>
      <c r="D86" s="257"/>
      <c r="E86" s="215"/>
      <c r="F86" s="130"/>
      <c r="G86" s="132"/>
      <c r="H86" s="217"/>
      <c r="I86" s="136"/>
      <c r="J86" s="140"/>
      <c r="K86" s="211"/>
      <c r="L86" s="211"/>
      <c r="M86" s="211"/>
      <c r="N86" s="211"/>
      <c r="O86" s="1"/>
      <c r="P86" s="96"/>
      <c r="Q86" s="1"/>
      <c r="R86" s="42">
        <f t="shared" si="9"/>
        <v>39997.89615555536</v>
      </c>
      <c r="S86" s="149">
        <f t="shared" si="8"/>
        <v>579792978</v>
      </c>
      <c r="T86" s="149"/>
      <c r="U86" s="36">
        <f t="shared" si="10"/>
        <v>82</v>
      </c>
      <c r="V86" s="2"/>
      <c r="W86" s="8">
        <f>E85*G85</f>
        <v>0</v>
      </c>
      <c r="X86" s="8">
        <f>E85*F85</f>
        <v>0</v>
      </c>
      <c r="Y86" s="8">
        <f>E85*I85</f>
        <v>0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5" customHeight="1">
      <c r="A87" s="97"/>
      <c r="B87" s="1"/>
      <c r="C87" s="1"/>
      <c r="D87" s="98"/>
      <c r="E87" s="98"/>
      <c r="F87" s="98"/>
      <c r="G87" s="98"/>
      <c r="H87" s="98"/>
      <c r="I87" s="98"/>
      <c r="K87" s="234" t="s">
        <v>40</v>
      </c>
      <c r="L87" s="235"/>
      <c r="M87" s="235"/>
      <c r="N87" s="236"/>
      <c r="O87" s="98"/>
      <c r="P87" s="1"/>
      <c r="Q87" s="1"/>
      <c r="R87" s="42">
        <f t="shared" si="9"/>
        <v>39997.937822222026</v>
      </c>
      <c r="S87" s="149">
        <f t="shared" si="8"/>
        <v>586770378</v>
      </c>
      <c r="T87" s="149"/>
      <c r="U87" s="36">
        <f t="shared" si="10"/>
        <v>83</v>
      </c>
      <c r="V87" s="2"/>
      <c r="W87" s="8"/>
      <c r="X87" s="8"/>
      <c r="Y87" s="8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5" customHeight="1">
      <c r="A88" s="97"/>
      <c r="B88" s="155" t="s">
        <v>92</v>
      </c>
      <c r="C88" s="157"/>
      <c r="D88" s="99" t="s">
        <v>48</v>
      </c>
      <c r="E88" s="87" t="s">
        <v>13</v>
      </c>
      <c r="F88" s="87" t="s">
        <v>35</v>
      </c>
      <c r="G88" s="87" t="s">
        <v>36</v>
      </c>
      <c r="H88" s="87" t="s">
        <v>30</v>
      </c>
      <c r="I88" s="87" t="s">
        <v>37</v>
      </c>
      <c r="J88" s="100" t="s">
        <v>171</v>
      </c>
      <c r="K88" s="87" t="s">
        <v>35</v>
      </c>
      <c r="L88" s="87" t="s">
        <v>36</v>
      </c>
      <c r="M88" s="87" t="s">
        <v>39</v>
      </c>
      <c r="N88" s="78" t="s">
        <v>38</v>
      </c>
      <c r="O88" s="205" t="s">
        <v>148</v>
      </c>
      <c r="P88" s="206"/>
      <c r="Q88" s="207"/>
      <c r="R88" s="42">
        <f t="shared" si="9"/>
        <v>39997.97948888869</v>
      </c>
      <c r="S88" s="149">
        <f t="shared" si="8"/>
        <v>593747778</v>
      </c>
      <c r="T88" s="149"/>
      <c r="U88" s="36">
        <f t="shared" si="10"/>
        <v>84</v>
      </c>
      <c r="V88" s="2"/>
      <c r="W88" s="8" t="s">
        <v>226</v>
      </c>
      <c r="X88" s="8" t="s">
        <v>227</v>
      </c>
      <c r="Y88" s="8" t="s">
        <v>228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5" customHeight="1">
      <c r="A89" s="97"/>
      <c r="B89" s="227" t="s">
        <v>93</v>
      </c>
      <c r="C89" s="228"/>
      <c r="D89" s="255"/>
      <c r="E89" s="230">
        <v>300</v>
      </c>
      <c r="F89" s="151">
        <v>2</v>
      </c>
      <c r="G89" s="152">
        <v>2</v>
      </c>
      <c r="H89" s="153">
        <v>2500</v>
      </c>
      <c r="I89" s="153">
        <v>0</v>
      </c>
      <c r="J89" s="226">
        <v>1</v>
      </c>
      <c r="K89" s="208" t="str">
        <f>IF(I89=0,"None",I89/F89)</f>
        <v>None</v>
      </c>
      <c r="L89" s="88" t="str">
        <f>IF(I89=0,"None",I89/G89)</f>
        <v>None</v>
      </c>
      <c r="M89" s="210" t="str">
        <f>IF(I89=0,"None",I89/(F89+G89))</f>
        <v>None</v>
      </c>
      <c r="N89" s="210">
        <f>IF(H89="Loot",0,I89/H89)</f>
        <v>0</v>
      </c>
      <c r="O89" s="185" t="s">
        <v>42</v>
      </c>
      <c r="P89" s="202">
        <f>SUM(E89:E114)</f>
        <v>1120</v>
      </c>
      <c r="Q89" s="204"/>
      <c r="R89" s="42">
        <f t="shared" si="9"/>
        <v>39998.021155555354</v>
      </c>
      <c r="S89" s="149">
        <f t="shared" si="8"/>
        <v>600725178</v>
      </c>
      <c r="T89" s="149"/>
      <c r="U89" s="36">
        <f t="shared" si="10"/>
        <v>85</v>
      </c>
      <c r="V89" s="2"/>
      <c r="W89" s="8">
        <f>E89*G89</f>
        <v>600</v>
      </c>
      <c r="X89" s="8">
        <f>E89*F89</f>
        <v>600</v>
      </c>
      <c r="Y89" s="8">
        <f>I89*E89</f>
        <v>0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5" customHeight="1">
      <c r="A90" s="97"/>
      <c r="B90" s="123"/>
      <c r="C90" s="124"/>
      <c r="D90" s="248"/>
      <c r="E90" s="214"/>
      <c r="F90" s="129"/>
      <c r="G90" s="131"/>
      <c r="H90" s="135"/>
      <c r="I90" s="135"/>
      <c r="J90" s="139"/>
      <c r="K90" s="224"/>
      <c r="L90" s="92"/>
      <c r="M90" s="211"/>
      <c r="N90" s="211"/>
      <c r="O90" s="191"/>
      <c r="P90" s="196"/>
      <c r="Q90" s="200"/>
      <c r="R90" s="42">
        <f t="shared" si="9"/>
        <v>39998.06282222202</v>
      </c>
      <c r="S90" s="149">
        <f t="shared" si="8"/>
        <v>607702578</v>
      </c>
      <c r="T90" s="149"/>
      <c r="U90" s="36">
        <f t="shared" si="10"/>
        <v>86</v>
      </c>
      <c r="V90" s="2"/>
      <c r="W90" s="8"/>
      <c r="X90" s="8"/>
      <c r="Y90" s="8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5" customHeight="1">
      <c r="A91" s="97"/>
      <c r="B91" s="123" t="s">
        <v>94</v>
      </c>
      <c r="C91" s="124"/>
      <c r="D91" s="248"/>
      <c r="E91" s="214">
        <v>300</v>
      </c>
      <c r="F91" s="144">
        <v>3</v>
      </c>
      <c r="G91" s="145">
        <v>2</v>
      </c>
      <c r="H91" s="146">
        <v>4500</v>
      </c>
      <c r="I91" s="146">
        <v>0</v>
      </c>
      <c r="J91" s="148">
        <v>1</v>
      </c>
      <c r="K91" s="219" t="str">
        <f>IF(I91=0,"None",I91/F91)</f>
        <v>None</v>
      </c>
      <c r="L91" s="221" t="str">
        <f>IF(I91=0,"None",I91/G91)</f>
        <v>None</v>
      </c>
      <c r="M91" s="221" t="str">
        <f>IF(I91=0,"None",I91/(F91+G91))</f>
        <v>None</v>
      </c>
      <c r="N91" s="210">
        <f>IF(H91="Loot",0,I91/H91)</f>
        <v>0</v>
      </c>
      <c r="O91" s="191" t="s">
        <v>37</v>
      </c>
      <c r="P91" s="192">
        <f>SUM(Y89:Y113)</f>
        <v>1815100</v>
      </c>
      <c r="Q91" s="225"/>
      <c r="R91" s="42">
        <f t="shared" si="9"/>
        <v>39998.10448888868</v>
      </c>
      <c r="S91" s="149">
        <f t="shared" si="8"/>
        <v>614679978</v>
      </c>
      <c r="T91" s="149"/>
      <c r="U91" s="36">
        <f t="shared" si="10"/>
        <v>87</v>
      </c>
      <c r="V91" s="2"/>
      <c r="W91" s="8">
        <f>E91*G91</f>
        <v>600</v>
      </c>
      <c r="X91" s="8">
        <f>E91*F91</f>
        <v>900</v>
      </c>
      <c r="Y91" s="8">
        <f>I91*E91</f>
        <v>0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5" customHeight="1">
      <c r="A92" s="1"/>
      <c r="B92" s="123"/>
      <c r="C92" s="124"/>
      <c r="D92" s="248"/>
      <c r="E92" s="214"/>
      <c r="F92" s="144"/>
      <c r="G92" s="145"/>
      <c r="H92" s="146"/>
      <c r="I92" s="146"/>
      <c r="J92" s="148"/>
      <c r="K92" s="220"/>
      <c r="L92" s="222"/>
      <c r="M92" s="222"/>
      <c r="N92" s="211"/>
      <c r="O92" s="191"/>
      <c r="P92" s="192"/>
      <c r="Q92" s="225"/>
      <c r="R92" s="42">
        <f t="shared" si="9"/>
        <v>39998.14615555535</v>
      </c>
      <c r="S92" s="149">
        <f t="shared" si="8"/>
        <v>621657378</v>
      </c>
      <c r="T92" s="149"/>
      <c r="U92" s="36">
        <f t="shared" si="10"/>
        <v>88</v>
      </c>
      <c r="V92" s="101">
        <f>IF($C$13=50,"3 Days","")</f>
      </c>
      <c r="W92" s="8"/>
      <c r="X92" s="8"/>
      <c r="Y92" s="8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5" customHeight="1">
      <c r="A93" s="1"/>
      <c r="B93" s="123" t="s">
        <v>95</v>
      </c>
      <c r="C93" s="124"/>
      <c r="D93" s="248"/>
      <c r="E93" s="214">
        <v>0</v>
      </c>
      <c r="F93" s="129">
        <v>6</v>
      </c>
      <c r="G93" s="131">
        <v>4</v>
      </c>
      <c r="H93" s="135">
        <v>12500</v>
      </c>
      <c r="I93" s="135">
        <v>650</v>
      </c>
      <c r="J93" s="139">
        <v>3</v>
      </c>
      <c r="K93" s="208">
        <f>IF(I93=0,"None",I93/F93)</f>
        <v>108.33333333333333</v>
      </c>
      <c r="L93" s="210">
        <f>IF(I93=0,"None",I93/G93)</f>
        <v>162.5</v>
      </c>
      <c r="M93" s="210">
        <f>IF(I93=0,"None",I93/(F93+G93))</f>
        <v>65</v>
      </c>
      <c r="N93" s="210">
        <f>IF(H93="Loot",0,I93/H93)</f>
        <v>0.052</v>
      </c>
      <c r="O93" s="191" t="s">
        <v>35</v>
      </c>
      <c r="P93" s="196">
        <f>SUM(X89:X113)</f>
        <v>6710</v>
      </c>
      <c r="Q93" s="200"/>
      <c r="R93" s="42">
        <f t="shared" si="9"/>
        <v>39998.18782222201</v>
      </c>
      <c r="S93" s="149">
        <f t="shared" si="8"/>
        <v>628634778</v>
      </c>
      <c r="T93" s="149"/>
      <c r="U93" s="36">
        <f t="shared" si="10"/>
        <v>89</v>
      </c>
      <c r="V93" s="2"/>
      <c r="W93" s="8">
        <f>E93*G93</f>
        <v>0</v>
      </c>
      <c r="X93" s="8">
        <f>E93*F93</f>
        <v>0</v>
      </c>
      <c r="Y93" s="8">
        <f>I93*E93</f>
        <v>0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5" customHeight="1">
      <c r="A94" s="1"/>
      <c r="B94" s="123"/>
      <c r="C94" s="124"/>
      <c r="D94" s="248"/>
      <c r="E94" s="214"/>
      <c r="F94" s="129"/>
      <c r="G94" s="131"/>
      <c r="H94" s="135"/>
      <c r="I94" s="135"/>
      <c r="J94" s="139"/>
      <c r="K94" s="209"/>
      <c r="L94" s="211"/>
      <c r="M94" s="211"/>
      <c r="N94" s="211"/>
      <c r="O94" s="191"/>
      <c r="P94" s="196"/>
      <c r="Q94" s="200"/>
      <c r="R94" s="42">
        <f t="shared" si="9"/>
        <v>39998.229488888675</v>
      </c>
      <c r="S94" s="149">
        <f t="shared" si="8"/>
        <v>635612178</v>
      </c>
      <c r="T94" s="149"/>
      <c r="U94" s="36">
        <f t="shared" si="10"/>
        <v>90</v>
      </c>
      <c r="V94" s="2"/>
      <c r="W94" s="8"/>
      <c r="X94" s="8"/>
      <c r="Y94" s="8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5" customHeight="1">
      <c r="A95" s="1"/>
      <c r="B95" s="123" t="s">
        <v>96</v>
      </c>
      <c r="C95" s="124"/>
      <c r="D95" s="248"/>
      <c r="E95" s="214">
        <v>0</v>
      </c>
      <c r="F95" s="144">
        <v>9</v>
      </c>
      <c r="G95" s="145">
        <v>6</v>
      </c>
      <c r="H95" s="146">
        <v>25000</v>
      </c>
      <c r="I95" s="146">
        <v>1000</v>
      </c>
      <c r="J95" s="148">
        <v>6</v>
      </c>
      <c r="K95" s="219">
        <f>IF(I95=0,"None",I95/F95)</f>
        <v>111.11111111111111</v>
      </c>
      <c r="L95" s="221">
        <f>IF(I95=0,"None",I95/G95)</f>
        <v>166.66666666666666</v>
      </c>
      <c r="M95" s="221">
        <f>IF(I95=0,"None",I95/(F95+G95))</f>
        <v>66.66666666666667</v>
      </c>
      <c r="N95" s="210">
        <f>IF(H95="Loot",0,I95/H95)</f>
        <v>0.04</v>
      </c>
      <c r="O95" s="191" t="s">
        <v>36</v>
      </c>
      <c r="P95" s="196">
        <f>SUM(W89:W113)</f>
        <v>19330</v>
      </c>
      <c r="Q95" s="200"/>
      <c r="R95" s="42">
        <f t="shared" si="9"/>
        <v>39998.27115555534</v>
      </c>
      <c r="S95" s="149">
        <f t="shared" si="8"/>
        <v>642589578</v>
      </c>
      <c r="T95" s="149"/>
      <c r="U95" s="36">
        <f t="shared" si="10"/>
        <v>91</v>
      </c>
      <c r="V95" s="2"/>
      <c r="W95" s="8">
        <f>E95*G95</f>
        <v>0</v>
      </c>
      <c r="X95" s="8">
        <f>E95*F95</f>
        <v>0</v>
      </c>
      <c r="Y95" s="8">
        <f>I95*E95</f>
        <v>0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5" customHeight="1">
      <c r="A96" s="1"/>
      <c r="B96" s="123"/>
      <c r="C96" s="124"/>
      <c r="D96" s="248"/>
      <c r="E96" s="214"/>
      <c r="F96" s="144"/>
      <c r="G96" s="145"/>
      <c r="H96" s="146"/>
      <c r="I96" s="146"/>
      <c r="J96" s="148"/>
      <c r="K96" s="220"/>
      <c r="L96" s="222"/>
      <c r="M96" s="222"/>
      <c r="N96" s="211"/>
      <c r="O96" s="186"/>
      <c r="P96" s="198"/>
      <c r="Q96" s="201"/>
      <c r="R96" s="42">
        <f t="shared" si="9"/>
        <v>39998.312822222004</v>
      </c>
      <c r="S96" s="149">
        <f t="shared" si="8"/>
        <v>649566978</v>
      </c>
      <c r="T96" s="149"/>
      <c r="U96" s="36">
        <f t="shared" si="10"/>
        <v>92</v>
      </c>
      <c r="V96" s="2"/>
      <c r="W96" s="8"/>
      <c r="X96" s="8"/>
      <c r="Y96" s="8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5" customHeight="1">
      <c r="A97" s="1"/>
      <c r="B97" s="123" t="s">
        <v>121</v>
      </c>
      <c r="C97" s="124"/>
      <c r="D97" s="248"/>
      <c r="E97" s="214">
        <v>0</v>
      </c>
      <c r="F97" s="129">
        <v>5</v>
      </c>
      <c r="G97" s="131">
        <v>18</v>
      </c>
      <c r="H97" s="135">
        <v>60000</v>
      </c>
      <c r="I97" s="135">
        <v>1600</v>
      </c>
      <c r="J97" s="139">
        <v>10</v>
      </c>
      <c r="K97" s="208">
        <f>IF(I97=0,"None",I97/F97)</f>
        <v>320</v>
      </c>
      <c r="L97" s="210">
        <f>IF(I97=0,"None",I97/G97)</f>
        <v>88.88888888888889</v>
      </c>
      <c r="M97" s="210">
        <f>IF(I97=0,"None",I97/(F97+G97))</f>
        <v>69.56521739130434</v>
      </c>
      <c r="N97" s="210">
        <f>IF(H97="Loot",0,I97/H97)</f>
        <v>0.02666666666666667</v>
      </c>
      <c r="R97" s="42">
        <f t="shared" si="9"/>
        <v>39998.35448888867</v>
      </c>
      <c r="S97" s="149">
        <f t="shared" si="8"/>
        <v>656544378</v>
      </c>
      <c r="T97" s="149"/>
      <c r="U97" s="36">
        <f t="shared" si="10"/>
        <v>93</v>
      </c>
      <c r="V97" s="2"/>
      <c r="W97" s="8">
        <f>E97*G97</f>
        <v>0</v>
      </c>
      <c r="X97" s="8">
        <f>E97*F97</f>
        <v>0</v>
      </c>
      <c r="Y97" s="8">
        <f>I97*E97</f>
        <v>0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5" customHeight="1">
      <c r="A98" s="1"/>
      <c r="B98" s="123"/>
      <c r="C98" s="124"/>
      <c r="D98" s="248"/>
      <c r="E98" s="214"/>
      <c r="F98" s="129"/>
      <c r="G98" s="131"/>
      <c r="H98" s="135"/>
      <c r="I98" s="135"/>
      <c r="J98" s="139"/>
      <c r="K98" s="254"/>
      <c r="L98" s="244"/>
      <c r="M98" s="244"/>
      <c r="N98" s="211"/>
      <c r="R98" s="42">
        <f t="shared" si="9"/>
        <v>39998.39615555533</v>
      </c>
      <c r="S98" s="149">
        <f t="shared" si="8"/>
        <v>663521778</v>
      </c>
      <c r="T98" s="149"/>
      <c r="U98" s="36">
        <f t="shared" si="10"/>
        <v>94</v>
      </c>
      <c r="V98" s="2"/>
      <c r="W98" s="8"/>
      <c r="X98" s="8"/>
      <c r="Y98" s="8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5" customHeight="1">
      <c r="A99" s="1"/>
      <c r="B99" s="123" t="s">
        <v>97</v>
      </c>
      <c r="C99" s="124"/>
      <c r="D99" s="248"/>
      <c r="E99" s="214">
        <v>0</v>
      </c>
      <c r="F99" s="144">
        <v>20</v>
      </c>
      <c r="G99" s="145">
        <v>13</v>
      </c>
      <c r="H99" s="146">
        <v>125000</v>
      </c>
      <c r="I99" s="146">
        <v>2400</v>
      </c>
      <c r="J99" s="148">
        <v>17</v>
      </c>
      <c r="K99" s="253">
        <f>IF(I99=0,"None",I99/F99)</f>
        <v>120</v>
      </c>
      <c r="L99" s="245">
        <f>IF(I99=0,"None",I99/G99)</f>
        <v>184.6153846153846</v>
      </c>
      <c r="M99" s="245">
        <f>IF(I99=0,"None",I99/(F99+G99))</f>
        <v>72.72727272727273</v>
      </c>
      <c r="N99" s="210">
        <f>IF(H99="Loot",0,I99/H99)</f>
        <v>0.0192</v>
      </c>
      <c r="O99" s="93"/>
      <c r="P99" s="94"/>
      <c r="Q99" s="94"/>
      <c r="R99" s="42">
        <f t="shared" si="9"/>
        <v>39998.437822222</v>
      </c>
      <c r="S99" s="149">
        <f t="shared" si="8"/>
        <v>670499178</v>
      </c>
      <c r="T99" s="149"/>
      <c r="U99" s="36">
        <f t="shared" si="10"/>
        <v>95</v>
      </c>
      <c r="V99" s="2"/>
      <c r="W99" s="8">
        <f>E99*G99</f>
        <v>0</v>
      </c>
      <c r="X99" s="8">
        <f>E99*F99</f>
        <v>0</v>
      </c>
      <c r="Y99" s="8">
        <f>I99*E99</f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5" customHeight="1">
      <c r="A100" s="1"/>
      <c r="B100" s="123"/>
      <c r="C100" s="124"/>
      <c r="D100" s="248"/>
      <c r="E100" s="214"/>
      <c r="F100" s="144"/>
      <c r="G100" s="145"/>
      <c r="H100" s="146"/>
      <c r="I100" s="146"/>
      <c r="J100" s="148"/>
      <c r="K100" s="220"/>
      <c r="L100" s="222"/>
      <c r="M100" s="222"/>
      <c r="N100" s="211"/>
      <c r="R100" s="42">
        <f t="shared" si="9"/>
        <v>39998.47948888866</v>
      </c>
      <c r="S100" s="149">
        <f t="shared" si="8"/>
        <v>677476578</v>
      </c>
      <c r="T100" s="149"/>
      <c r="U100" s="36">
        <f t="shared" si="10"/>
        <v>96</v>
      </c>
      <c r="V100" s="2"/>
      <c r="W100" s="8"/>
      <c r="X100" s="8"/>
      <c r="Y100" s="8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5" customHeight="1">
      <c r="A101" s="1"/>
      <c r="B101" s="123" t="s">
        <v>138</v>
      </c>
      <c r="C101" s="124"/>
      <c r="D101" s="248"/>
      <c r="E101" s="214">
        <v>517</v>
      </c>
      <c r="F101" s="129">
        <v>10</v>
      </c>
      <c r="G101" s="131">
        <v>35</v>
      </c>
      <c r="H101" s="135">
        <v>225000</v>
      </c>
      <c r="I101" s="135">
        <v>3500</v>
      </c>
      <c r="J101" s="139">
        <v>22</v>
      </c>
      <c r="K101" s="208">
        <f>IF(I101=0,"None",I101/F101)</f>
        <v>350</v>
      </c>
      <c r="L101" s="210">
        <f>IF(I101=0,"None",I101/G101)</f>
        <v>100</v>
      </c>
      <c r="M101" s="210">
        <f>IF(I101=0,"None",I101/(F101+G101))</f>
        <v>77.77777777777777</v>
      </c>
      <c r="N101" s="210">
        <f>IF(H101="Loot",0,I101/H101)</f>
        <v>0.015555555555555555</v>
      </c>
      <c r="R101" s="42">
        <f t="shared" si="9"/>
        <v>39998.521155555325</v>
      </c>
      <c r="S101" s="149">
        <f t="shared" si="8"/>
        <v>684453978</v>
      </c>
      <c r="T101" s="149"/>
      <c r="U101" s="36">
        <f t="shared" si="10"/>
        <v>97</v>
      </c>
      <c r="V101" s="83" t="str">
        <f>IF($C$13=60,"4 Days","")</f>
        <v>4 Days</v>
      </c>
      <c r="W101" s="8">
        <f>E101*G101</f>
        <v>18095</v>
      </c>
      <c r="X101" s="8">
        <f>E101*F101</f>
        <v>5170</v>
      </c>
      <c r="Y101" s="8">
        <f>I101*E101</f>
        <v>1809500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5" customHeight="1">
      <c r="A102" s="1"/>
      <c r="B102" s="123"/>
      <c r="C102" s="124"/>
      <c r="D102" s="248"/>
      <c r="E102" s="214"/>
      <c r="F102" s="129"/>
      <c r="G102" s="131"/>
      <c r="H102" s="135"/>
      <c r="I102" s="135"/>
      <c r="J102" s="139"/>
      <c r="K102" s="209"/>
      <c r="L102" s="211"/>
      <c r="M102" s="211"/>
      <c r="N102" s="211"/>
      <c r="R102" s="42">
        <f t="shared" si="9"/>
        <v>39998.56282222199</v>
      </c>
      <c r="S102" s="149">
        <f t="shared" si="8"/>
        <v>691431378</v>
      </c>
      <c r="T102" s="149"/>
      <c r="U102" s="36">
        <f t="shared" si="10"/>
        <v>98</v>
      </c>
      <c r="V102" s="102"/>
      <c r="W102" s="8"/>
      <c r="X102" s="8"/>
      <c r="Y102" s="8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5" customHeight="1">
      <c r="A103" s="1"/>
      <c r="B103" s="123" t="s">
        <v>119</v>
      </c>
      <c r="C103" s="124"/>
      <c r="D103" s="248"/>
      <c r="E103" s="214">
        <v>0</v>
      </c>
      <c r="F103" s="144">
        <v>42</v>
      </c>
      <c r="G103" s="145">
        <v>17</v>
      </c>
      <c r="H103" s="146">
        <v>420000</v>
      </c>
      <c r="I103" s="146">
        <v>5000</v>
      </c>
      <c r="J103" s="148">
        <v>27</v>
      </c>
      <c r="K103" s="219">
        <f>IF(I103=0,"None",I103/F103)</f>
        <v>119.04761904761905</v>
      </c>
      <c r="L103" s="221">
        <f>IF(I103=0,"None",I103/G103)</f>
        <v>294.11764705882354</v>
      </c>
      <c r="M103" s="221">
        <f>IF(I103=0,"None",I103/(F103+G103))</f>
        <v>84.7457627118644</v>
      </c>
      <c r="N103" s="210">
        <f>IF(H103="Loot",0,I103/H103)</f>
        <v>0.011904761904761904</v>
      </c>
      <c r="R103" s="42">
        <f t="shared" si="9"/>
        <v>39998.60448888865</v>
      </c>
      <c r="S103" s="149">
        <f t="shared" si="8"/>
        <v>698408778</v>
      </c>
      <c r="T103" s="149"/>
      <c r="U103" s="36">
        <f t="shared" si="10"/>
        <v>99</v>
      </c>
      <c r="V103" s="2"/>
      <c r="W103" s="8">
        <f>E103*G103</f>
        <v>0</v>
      </c>
      <c r="X103" s="8">
        <f>E103*F103</f>
        <v>0</v>
      </c>
      <c r="Y103" s="8">
        <f>I103*E103</f>
        <v>0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5" customHeight="1">
      <c r="A104" s="1"/>
      <c r="B104" s="123"/>
      <c r="C104" s="124"/>
      <c r="D104" s="248"/>
      <c r="E104" s="214"/>
      <c r="F104" s="144"/>
      <c r="G104" s="145"/>
      <c r="H104" s="146"/>
      <c r="I104" s="146"/>
      <c r="J104" s="148"/>
      <c r="K104" s="220"/>
      <c r="L104" s="222"/>
      <c r="M104" s="222"/>
      <c r="N104" s="211"/>
      <c r="O104" s="1"/>
      <c r="P104" s="1"/>
      <c r="Q104" s="1"/>
      <c r="R104" s="42">
        <f t="shared" si="9"/>
        <v>39998.64615555532</v>
      </c>
      <c r="S104" s="149">
        <f t="shared" si="8"/>
        <v>705386178</v>
      </c>
      <c r="T104" s="149"/>
      <c r="U104" s="36">
        <f t="shared" si="10"/>
        <v>100</v>
      </c>
      <c r="V104" s="2"/>
      <c r="W104" s="8"/>
      <c r="X104" s="8"/>
      <c r="Y104" s="8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5" customHeight="1">
      <c r="A105" s="1"/>
      <c r="B105" s="123" t="s">
        <v>157</v>
      </c>
      <c r="C105" s="124"/>
      <c r="D105" s="248"/>
      <c r="E105" s="214">
        <v>0</v>
      </c>
      <c r="F105" s="129">
        <v>45</v>
      </c>
      <c r="G105" s="131">
        <v>30</v>
      </c>
      <c r="H105" s="135">
        <v>750000</v>
      </c>
      <c r="I105" s="135">
        <v>8500</v>
      </c>
      <c r="J105" s="139">
        <v>32</v>
      </c>
      <c r="K105" s="208">
        <f>IF(I105=0,"None",I105/F105)</f>
        <v>188.88888888888889</v>
      </c>
      <c r="L105" s="210">
        <f>IF(I105=0,"None",I105/G105)</f>
        <v>283.3333333333333</v>
      </c>
      <c r="M105" s="210">
        <f>IF(I105=0,"None",I105/(F105+G105))</f>
        <v>113.33333333333333</v>
      </c>
      <c r="N105" s="210">
        <f>IF(H105="Loot",0,I105/H105)</f>
        <v>0.011333333333333334</v>
      </c>
      <c r="O105" s="1"/>
      <c r="P105" s="1"/>
      <c r="Q105" s="1"/>
      <c r="R105" s="42">
        <f t="shared" si="9"/>
        <v>39998.68782222198</v>
      </c>
      <c r="S105" s="149">
        <f t="shared" si="8"/>
        <v>712363578</v>
      </c>
      <c r="T105" s="149"/>
      <c r="U105" s="36">
        <f t="shared" si="10"/>
        <v>101</v>
      </c>
      <c r="V105" s="2"/>
      <c r="W105" s="8">
        <f>E105*G105</f>
        <v>0</v>
      </c>
      <c r="X105" s="8">
        <f>E105*F105</f>
        <v>0</v>
      </c>
      <c r="Y105" s="8">
        <f>I105*E105</f>
        <v>0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5" customHeight="1">
      <c r="A106" s="1"/>
      <c r="B106" s="123"/>
      <c r="C106" s="124"/>
      <c r="D106" s="248"/>
      <c r="E106" s="214"/>
      <c r="F106" s="129"/>
      <c r="G106" s="131"/>
      <c r="H106" s="135"/>
      <c r="I106" s="135"/>
      <c r="J106" s="139"/>
      <c r="K106" s="209"/>
      <c r="L106" s="211"/>
      <c r="M106" s="252"/>
      <c r="N106" s="211"/>
      <c r="O106" s="1"/>
      <c r="P106" s="1"/>
      <c r="Q106" s="1"/>
      <c r="R106" s="42">
        <f t="shared" si="9"/>
        <v>39998.729488888646</v>
      </c>
      <c r="S106" s="149">
        <f t="shared" si="8"/>
        <v>719340978</v>
      </c>
      <c r="T106" s="149"/>
      <c r="U106" s="36">
        <f t="shared" si="10"/>
        <v>102</v>
      </c>
      <c r="V106" s="2"/>
      <c r="W106" s="8"/>
      <c r="X106" s="8"/>
      <c r="Y106" s="8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5" customHeight="1">
      <c r="A107" s="1"/>
      <c r="B107" s="123" t="s">
        <v>98</v>
      </c>
      <c r="C107" s="124"/>
      <c r="D107" s="248"/>
      <c r="E107" s="214">
        <v>1</v>
      </c>
      <c r="F107" s="144">
        <v>14</v>
      </c>
      <c r="G107" s="145">
        <v>5</v>
      </c>
      <c r="H107" s="223" t="s">
        <v>41</v>
      </c>
      <c r="I107" s="146">
        <v>0</v>
      </c>
      <c r="J107" s="148" t="s">
        <v>172</v>
      </c>
      <c r="K107" s="219" t="str">
        <f>IF(I107=0,"None",I107/F107)</f>
        <v>None</v>
      </c>
      <c r="L107" s="221" t="str">
        <f>IF(I107=0,"None",I107/G107)</f>
        <v>None</v>
      </c>
      <c r="M107" s="221" t="str">
        <f>IF(I107=0,"None",I107/(F107+G107))</f>
        <v>None</v>
      </c>
      <c r="N107" s="210">
        <f>IF(H107="Loot",0,I107/H107)</f>
        <v>0</v>
      </c>
      <c r="O107" s="1"/>
      <c r="P107" s="1"/>
      <c r="Q107" s="1"/>
      <c r="R107" s="42">
        <f t="shared" si="9"/>
        <v>39998.77115555531</v>
      </c>
      <c r="S107" s="149">
        <f t="shared" si="8"/>
        <v>726318378</v>
      </c>
      <c r="T107" s="149"/>
      <c r="U107" s="36">
        <f t="shared" si="10"/>
        <v>103</v>
      </c>
      <c r="V107" s="2"/>
      <c r="W107" s="8">
        <f>E107*G107</f>
        <v>5</v>
      </c>
      <c r="X107" s="8">
        <f>E107*F107</f>
        <v>14</v>
      </c>
      <c r="Y107" s="8">
        <f>I107*E107</f>
        <v>0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5" customHeight="1">
      <c r="A108" s="1"/>
      <c r="B108" s="123"/>
      <c r="C108" s="124"/>
      <c r="D108" s="248"/>
      <c r="E108" s="214"/>
      <c r="F108" s="144"/>
      <c r="G108" s="145"/>
      <c r="H108" s="223"/>
      <c r="I108" s="146"/>
      <c r="J108" s="148"/>
      <c r="K108" s="220"/>
      <c r="L108" s="222"/>
      <c r="M108" s="222"/>
      <c r="N108" s="211"/>
      <c r="O108" s="1"/>
      <c r="P108" s="1"/>
      <c r="Q108" s="1"/>
      <c r="R108" s="42">
        <f t="shared" si="9"/>
        <v>39998.812822221975</v>
      </c>
      <c r="S108" s="149">
        <f t="shared" si="8"/>
        <v>733295778</v>
      </c>
      <c r="T108" s="149"/>
      <c r="U108" s="36">
        <f t="shared" si="10"/>
        <v>104</v>
      </c>
      <c r="V108" s="2"/>
      <c r="W108" s="8"/>
      <c r="X108" s="8"/>
      <c r="Y108" s="8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5" customHeight="1">
      <c r="A109" s="1"/>
      <c r="B109" s="123" t="s">
        <v>99</v>
      </c>
      <c r="C109" s="124"/>
      <c r="D109" s="248"/>
      <c r="E109" s="214">
        <v>0</v>
      </c>
      <c r="F109" s="129">
        <v>6</v>
      </c>
      <c r="G109" s="131">
        <v>12</v>
      </c>
      <c r="H109" s="216" t="s">
        <v>41</v>
      </c>
      <c r="I109" s="135">
        <v>0</v>
      </c>
      <c r="J109" s="139" t="s">
        <v>172</v>
      </c>
      <c r="K109" s="208" t="str">
        <f>IF(I109=0,"None",I109/F109)</f>
        <v>None</v>
      </c>
      <c r="L109" s="210" t="str">
        <f>IF(I109=0,"None",I109/G109)</f>
        <v>None</v>
      </c>
      <c r="M109" s="210" t="str">
        <f>IF(I109=0,"None",I109/(F109+G109))</f>
        <v>None</v>
      </c>
      <c r="N109" s="210">
        <f>IF(H109="Loot",0,I109/H109)</f>
        <v>0</v>
      </c>
      <c r="O109" s="1"/>
      <c r="P109" s="1"/>
      <c r="Q109" s="1"/>
      <c r="R109" s="42">
        <f t="shared" si="9"/>
        <v>39998.85448888864</v>
      </c>
      <c r="S109" s="149">
        <f t="shared" si="8"/>
        <v>740273178</v>
      </c>
      <c r="T109" s="149"/>
      <c r="U109" s="36">
        <f t="shared" si="10"/>
        <v>105</v>
      </c>
      <c r="V109" s="2"/>
      <c r="W109" s="8">
        <f>E109*G109</f>
        <v>0</v>
      </c>
      <c r="X109" s="8">
        <f>E109*F109</f>
        <v>0</v>
      </c>
      <c r="Y109" s="8">
        <f>I109*E109</f>
        <v>0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5" customHeight="1">
      <c r="A110" s="1"/>
      <c r="B110" s="123"/>
      <c r="C110" s="124"/>
      <c r="D110" s="248"/>
      <c r="E110" s="214"/>
      <c r="F110" s="129"/>
      <c r="G110" s="131"/>
      <c r="H110" s="216"/>
      <c r="I110" s="135"/>
      <c r="J110" s="139"/>
      <c r="K110" s="209"/>
      <c r="L110" s="211"/>
      <c r="M110" s="211"/>
      <c r="N110" s="211"/>
      <c r="O110" s="1"/>
      <c r="P110" s="1"/>
      <c r="Q110" s="1"/>
      <c r="R110" s="42">
        <f t="shared" si="9"/>
        <v>39998.8961555553</v>
      </c>
      <c r="S110" s="149">
        <f t="shared" si="8"/>
        <v>747250578</v>
      </c>
      <c r="T110" s="149"/>
      <c r="U110" s="36">
        <f t="shared" si="10"/>
        <v>106</v>
      </c>
      <c r="V110" s="2"/>
      <c r="W110" s="8"/>
      <c r="X110" s="8"/>
      <c r="Y110" s="8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5" customHeight="1">
      <c r="A111" s="1"/>
      <c r="B111" s="123" t="s">
        <v>125</v>
      </c>
      <c r="C111" s="124"/>
      <c r="D111" s="248"/>
      <c r="E111" s="214">
        <v>2</v>
      </c>
      <c r="F111" s="144">
        <v>13</v>
      </c>
      <c r="G111" s="145">
        <v>15</v>
      </c>
      <c r="H111" s="223" t="s">
        <v>41</v>
      </c>
      <c r="I111" s="231">
        <v>2800</v>
      </c>
      <c r="J111" s="250"/>
      <c r="K111" s="251">
        <f>IF(I111=0,"None",I111/F111)</f>
        <v>215.3846153846154</v>
      </c>
      <c r="L111" s="237">
        <f>IF(I111=0,"None",I111/G111)</f>
        <v>186.66666666666666</v>
      </c>
      <c r="M111" s="237">
        <f>IF(I111=0,"None",I111/(F111+G111))</f>
        <v>100</v>
      </c>
      <c r="N111" s="210">
        <f>IF(H111="Loot",0,I111/H111)</f>
        <v>0</v>
      </c>
      <c r="O111" s="1"/>
      <c r="P111" s="1"/>
      <c r="Q111" s="1"/>
      <c r="R111" s="42">
        <f t="shared" si="9"/>
        <v>39998.93782222197</v>
      </c>
      <c r="S111" s="149">
        <f t="shared" si="8"/>
        <v>754227978</v>
      </c>
      <c r="T111" s="149"/>
      <c r="U111" s="36">
        <f t="shared" si="10"/>
        <v>107</v>
      </c>
      <c r="V111" s="2"/>
      <c r="W111" s="8">
        <f>E111*G111</f>
        <v>30</v>
      </c>
      <c r="X111" s="8">
        <f>E111*F111</f>
        <v>26</v>
      </c>
      <c r="Y111" s="8">
        <f>I111*E111</f>
        <v>5600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5" customHeight="1">
      <c r="A112" s="1"/>
      <c r="B112" s="123"/>
      <c r="C112" s="124"/>
      <c r="D112" s="248"/>
      <c r="E112" s="214"/>
      <c r="F112" s="144"/>
      <c r="G112" s="145"/>
      <c r="H112" s="223"/>
      <c r="I112" s="231"/>
      <c r="J112" s="250"/>
      <c r="K112" s="224"/>
      <c r="L112" s="238"/>
      <c r="M112" s="238"/>
      <c r="N112" s="211"/>
      <c r="O112" s="1"/>
      <c r="P112" s="1"/>
      <c r="Q112" s="1"/>
      <c r="R112" s="42">
        <f t="shared" si="9"/>
        <v>39998.97948888863</v>
      </c>
      <c r="S112" s="149">
        <f t="shared" si="8"/>
        <v>761205378</v>
      </c>
      <c r="T112" s="149"/>
      <c r="U112" s="36">
        <f t="shared" si="10"/>
        <v>108</v>
      </c>
      <c r="V112" s="2"/>
      <c r="W112" s="8"/>
      <c r="X112" s="8"/>
      <c r="Y112" s="8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5" customHeight="1">
      <c r="A113" s="97"/>
      <c r="B113" s="123" t="s">
        <v>133</v>
      </c>
      <c r="C113" s="124"/>
      <c r="D113" s="248"/>
      <c r="E113" s="214">
        <v>0</v>
      </c>
      <c r="F113" s="129">
        <v>52</v>
      </c>
      <c r="G113" s="131">
        <v>25</v>
      </c>
      <c r="H113" s="216" t="s">
        <v>41</v>
      </c>
      <c r="I113" s="135">
        <v>10000</v>
      </c>
      <c r="J113" s="139"/>
      <c r="K113" s="208">
        <f>IF(I113=0,"None",I113/F113)</f>
        <v>192.30769230769232</v>
      </c>
      <c r="L113" s="210">
        <f>IF(I113=0,"None",I113/G113)</f>
        <v>400</v>
      </c>
      <c r="M113" s="210">
        <f>IF(I113=0,"None",I113/(F113+G113))</f>
        <v>129.87012987012986</v>
      </c>
      <c r="N113" s="210">
        <f>IF(H113="Loot",0,I113/H113)</f>
        <v>0</v>
      </c>
      <c r="O113" s="1"/>
      <c r="P113" s="1"/>
      <c r="Q113" s="1"/>
      <c r="R113" s="42">
        <f t="shared" si="9"/>
        <v>39999.021155555296</v>
      </c>
      <c r="S113" s="149">
        <f t="shared" si="8"/>
        <v>768182778</v>
      </c>
      <c r="T113" s="149"/>
      <c r="U113" s="36">
        <f t="shared" si="10"/>
        <v>109</v>
      </c>
      <c r="V113" s="2"/>
      <c r="W113" s="8">
        <f>E113*G113</f>
        <v>0</v>
      </c>
      <c r="X113" s="8">
        <f>E113*F113</f>
        <v>0</v>
      </c>
      <c r="Y113" s="8">
        <f>I113*E113</f>
        <v>0</v>
      </c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5" customHeight="1">
      <c r="A114" s="97"/>
      <c r="B114" s="126"/>
      <c r="C114" s="127"/>
      <c r="D114" s="249"/>
      <c r="E114" s="215"/>
      <c r="F114" s="130"/>
      <c r="G114" s="132"/>
      <c r="H114" s="217"/>
      <c r="I114" s="136"/>
      <c r="J114" s="140"/>
      <c r="K114" s="209"/>
      <c r="L114" s="211"/>
      <c r="M114" s="211"/>
      <c r="N114" s="211"/>
      <c r="O114" s="1"/>
      <c r="P114" s="1"/>
      <c r="Q114" s="1"/>
      <c r="R114" s="42">
        <f t="shared" si="9"/>
        <v>39999.06282222196</v>
      </c>
      <c r="S114" s="149">
        <f t="shared" si="8"/>
        <v>775160178</v>
      </c>
      <c r="T114" s="149"/>
      <c r="U114" s="36">
        <f t="shared" si="10"/>
        <v>110</v>
      </c>
      <c r="V114" s="2"/>
      <c r="W114" s="8"/>
      <c r="X114" s="8"/>
      <c r="Y114" s="8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5" customHeight="1">
      <c r="A115" s="97"/>
      <c r="J115" s="103"/>
      <c r="K115" s="234" t="s">
        <v>40</v>
      </c>
      <c r="L115" s="235"/>
      <c r="M115" s="235"/>
      <c r="N115" s="236"/>
      <c r="R115" s="42">
        <f t="shared" si="9"/>
        <v>39999.104488888624</v>
      </c>
      <c r="S115" s="149">
        <f t="shared" si="8"/>
        <v>782137578</v>
      </c>
      <c r="T115" s="149"/>
      <c r="U115" s="36">
        <f t="shared" si="10"/>
        <v>111</v>
      </c>
      <c r="V115" s="104"/>
      <c r="W115" s="8"/>
      <c r="X115" s="8"/>
      <c r="Y115" s="8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5" customHeight="1">
      <c r="A116" s="97"/>
      <c r="B116" s="155" t="s">
        <v>100</v>
      </c>
      <c r="C116" s="157"/>
      <c r="D116" s="99" t="s">
        <v>48</v>
      </c>
      <c r="E116" s="87" t="s">
        <v>13</v>
      </c>
      <c r="F116" s="87" t="s">
        <v>35</v>
      </c>
      <c r="G116" s="87" t="s">
        <v>36</v>
      </c>
      <c r="H116" s="87" t="s">
        <v>30</v>
      </c>
      <c r="I116" s="87" t="s">
        <v>37</v>
      </c>
      <c r="J116" s="100" t="s">
        <v>171</v>
      </c>
      <c r="K116" s="87" t="s">
        <v>35</v>
      </c>
      <c r="L116" s="87" t="s">
        <v>36</v>
      </c>
      <c r="M116" s="87" t="s">
        <v>39</v>
      </c>
      <c r="N116" s="78" t="s">
        <v>38</v>
      </c>
      <c r="O116" s="205" t="s">
        <v>147</v>
      </c>
      <c r="P116" s="206"/>
      <c r="Q116" s="207"/>
      <c r="R116" s="42">
        <f t="shared" si="9"/>
        <v>39999.14615555529</v>
      </c>
      <c r="S116" s="149">
        <f t="shared" si="8"/>
        <v>789114978</v>
      </c>
      <c r="T116" s="149"/>
      <c r="U116" s="36">
        <f t="shared" si="10"/>
        <v>112</v>
      </c>
      <c r="V116" s="104"/>
      <c r="W116" s="8" t="s">
        <v>226</v>
      </c>
      <c r="X116" s="8" t="s">
        <v>227</v>
      </c>
      <c r="Y116" s="8" t="s">
        <v>228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5" customHeight="1">
      <c r="A117" s="97"/>
      <c r="B117" s="227" t="s">
        <v>101</v>
      </c>
      <c r="C117" s="228"/>
      <c r="D117" s="246"/>
      <c r="E117" s="247">
        <v>0</v>
      </c>
      <c r="F117" s="151">
        <v>4</v>
      </c>
      <c r="G117" s="152">
        <v>2</v>
      </c>
      <c r="H117" s="153">
        <v>6000</v>
      </c>
      <c r="I117" s="153">
        <v>250</v>
      </c>
      <c r="J117" s="226">
        <v>1</v>
      </c>
      <c r="K117" s="210">
        <f>IF(I117=0,"None",I117/F117)</f>
        <v>62.5</v>
      </c>
      <c r="L117" s="210">
        <f>IF(I117=0,"None",I117/G117)</f>
        <v>125</v>
      </c>
      <c r="M117" s="210">
        <f>IF(I117=0,"None",I117/(F117+G117))</f>
        <v>41.666666666666664</v>
      </c>
      <c r="N117" s="210">
        <f>IF(H117="Loot",0,I117/H117)</f>
        <v>0.041666666666666664</v>
      </c>
      <c r="O117" s="185" t="s">
        <v>42</v>
      </c>
      <c r="P117" s="202">
        <f>SUM(E117:E140)</f>
        <v>2</v>
      </c>
      <c r="Q117" s="204"/>
      <c r="R117" s="42">
        <f t="shared" si="9"/>
        <v>39999.18782222195</v>
      </c>
      <c r="S117" s="149">
        <f t="shared" si="8"/>
        <v>796092378</v>
      </c>
      <c r="T117" s="149"/>
      <c r="U117" s="36">
        <f t="shared" si="10"/>
        <v>113</v>
      </c>
      <c r="V117" s="104"/>
      <c r="W117" s="8">
        <f>E117*G117</f>
        <v>0</v>
      </c>
      <c r="X117" s="8">
        <f>E117*F117</f>
        <v>0</v>
      </c>
      <c r="Y117" s="105">
        <f>E117*I117</f>
        <v>0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5" customHeight="1">
      <c r="A118" s="97"/>
      <c r="B118" s="123"/>
      <c r="C118" s="124"/>
      <c r="D118" s="239"/>
      <c r="E118" s="241"/>
      <c r="F118" s="129"/>
      <c r="G118" s="131"/>
      <c r="H118" s="135"/>
      <c r="I118" s="135"/>
      <c r="J118" s="139"/>
      <c r="K118" s="211"/>
      <c r="L118" s="211"/>
      <c r="M118" s="211"/>
      <c r="N118" s="211"/>
      <c r="O118" s="191"/>
      <c r="P118" s="196"/>
      <c r="Q118" s="200"/>
      <c r="R118" s="42">
        <f t="shared" si="9"/>
        <v>39999.22948888862</v>
      </c>
      <c r="S118" s="149">
        <f t="shared" si="8"/>
        <v>803069778</v>
      </c>
      <c r="T118" s="149"/>
      <c r="U118" s="36">
        <f t="shared" si="10"/>
        <v>114</v>
      </c>
      <c r="V118" s="104"/>
      <c r="W118" s="8"/>
      <c r="X118" s="8"/>
      <c r="Y118" s="105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5" customHeight="1">
      <c r="A119" s="97"/>
      <c r="B119" s="123" t="s">
        <v>102</v>
      </c>
      <c r="C119" s="124"/>
      <c r="D119" s="239"/>
      <c r="E119" s="241">
        <v>0</v>
      </c>
      <c r="F119" s="144">
        <v>2</v>
      </c>
      <c r="G119" s="145">
        <v>7</v>
      </c>
      <c r="H119" s="146">
        <v>10000</v>
      </c>
      <c r="I119" s="146">
        <v>400</v>
      </c>
      <c r="J119" s="148">
        <v>2</v>
      </c>
      <c r="K119" s="221">
        <f>IF(I119=0,"None",I119/F119)</f>
        <v>200</v>
      </c>
      <c r="L119" s="221">
        <f>IF(I119=0,"None",I119/G119)</f>
        <v>57.142857142857146</v>
      </c>
      <c r="M119" s="221">
        <f>IF(I119=0,"None",I119/(F119+G119))</f>
        <v>44.44444444444444</v>
      </c>
      <c r="N119" s="210">
        <f>IF(H119="Loot",0,I119/H119)</f>
        <v>0.04</v>
      </c>
      <c r="O119" s="191" t="s">
        <v>37</v>
      </c>
      <c r="P119" s="192">
        <f>SUM(Y117:Y139)</f>
        <v>4000</v>
      </c>
      <c r="Q119" s="225"/>
      <c r="R119" s="42">
        <f t="shared" si="9"/>
        <v>39999.27115555528</v>
      </c>
      <c r="S119" s="149">
        <f t="shared" si="8"/>
        <v>810047178</v>
      </c>
      <c r="T119" s="149"/>
      <c r="U119" s="36">
        <f t="shared" si="10"/>
        <v>115</v>
      </c>
      <c r="V119" s="104"/>
      <c r="W119" s="8">
        <f aca="true" t="shared" si="11" ref="W119:W139">E119*G119</f>
        <v>0</v>
      </c>
      <c r="X119" s="8">
        <f aca="true" t="shared" si="12" ref="X119:X133">E119*F119</f>
        <v>0</v>
      </c>
      <c r="Y119" s="105">
        <f aca="true" t="shared" si="13" ref="Y119:Y133">E119*I119</f>
        <v>0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5" customHeight="1">
      <c r="A120" s="97"/>
      <c r="B120" s="123"/>
      <c r="C120" s="124"/>
      <c r="D120" s="239"/>
      <c r="E120" s="241"/>
      <c r="F120" s="144"/>
      <c r="G120" s="145"/>
      <c r="H120" s="146"/>
      <c r="I120" s="146"/>
      <c r="J120" s="148"/>
      <c r="K120" s="222"/>
      <c r="L120" s="222"/>
      <c r="M120" s="222"/>
      <c r="N120" s="211"/>
      <c r="O120" s="191"/>
      <c r="P120" s="192"/>
      <c r="Q120" s="225"/>
      <c r="R120" s="42">
        <f t="shared" si="9"/>
        <v>39999.312822221946</v>
      </c>
      <c r="S120" s="149">
        <f t="shared" si="8"/>
        <v>817024578</v>
      </c>
      <c r="T120" s="149"/>
      <c r="U120" s="36">
        <f t="shared" si="10"/>
        <v>116</v>
      </c>
      <c r="V120" s="104"/>
      <c r="W120" s="8"/>
      <c r="X120" s="8"/>
      <c r="Y120" s="105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5" customHeight="1">
      <c r="A121" s="97"/>
      <c r="B121" s="123" t="s">
        <v>103</v>
      </c>
      <c r="C121" s="124"/>
      <c r="D121" s="239"/>
      <c r="E121" s="241">
        <v>0</v>
      </c>
      <c r="F121" s="129">
        <v>11</v>
      </c>
      <c r="G121" s="131">
        <v>5</v>
      </c>
      <c r="H121" s="135">
        <v>30000</v>
      </c>
      <c r="I121" s="135">
        <v>800</v>
      </c>
      <c r="J121" s="139">
        <v>4</v>
      </c>
      <c r="K121" s="210">
        <f>IF(I121=0,"None",I121/F121)</f>
        <v>72.72727272727273</v>
      </c>
      <c r="L121" s="210">
        <f>IF(I121=0,"None",I121/G121)</f>
        <v>160</v>
      </c>
      <c r="M121" s="210">
        <f>IF(I121=0,"None",I121/(F121+G121))</f>
        <v>50</v>
      </c>
      <c r="N121" s="210">
        <f>IF(H121="Loot",0,I121/H121)</f>
        <v>0.02666666666666667</v>
      </c>
      <c r="O121" s="191" t="s">
        <v>35</v>
      </c>
      <c r="P121" s="196">
        <f>SUM(X117:X139)</f>
        <v>45</v>
      </c>
      <c r="Q121" s="200"/>
      <c r="R121" s="42">
        <f t="shared" si="9"/>
        <v>39999.35448888861</v>
      </c>
      <c r="S121" s="149">
        <f t="shared" si="8"/>
        <v>824001978</v>
      </c>
      <c r="T121" s="149"/>
      <c r="U121" s="36">
        <f t="shared" si="10"/>
        <v>117</v>
      </c>
      <c r="V121" s="101">
        <f>IF($C$13=50,"4 Days","")</f>
      </c>
      <c r="W121" s="8">
        <f t="shared" si="11"/>
        <v>0</v>
      </c>
      <c r="X121" s="8">
        <f t="shared" si="12"/>
        <v>0</v>
      </c>
      <c r="Y121" s="105">
        <f t="shared" si="13"/>
        <v>0</v>
      </c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5" customHeight="1">
      <c r="A122" s="97"/>
      <c r="B122" s="123"/>
      <c r="C122" s="124"/>
      <c r="D122" s="239"/>
      <c r="E122" s="241"/>
      <c r="F122" s="129"/>
      <c r="G122" s="131"/>
      <c r="H122" s="135"/>
      <c r="I122" s="135"/>
      <c r="J122" s="139"/>
      <c r="K122" s="211"/>
      <c r="L122" s="211"/>
      <c r="M122" s="211"/>
      <c r="N122" s="211"/>
      <c r="O122" s="191"/>
      <c r="P122" s="196"/>
      <c r="Q122" s="200"/>
      <c r="R122" s="42">
        <f t="shared" si="9"/>
        <v>39999.396155555274</v>
      </c>
      <c r="S122" s="149">
        <f t="shared" si="8"/>
        <v>830979378</v>
      </c>
      <c r="T122" s="149"/>
      <c r="U122" s="36">
        <f t="shared" si="10"/>
        <v>118</v>
      </c>
      <c r="V122" s="104"/>
      <c r="W122" s="8"/>
      <c r="X122" s="8"/>
      <c r="Y122" s="10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5" customHeight="1">
      <c r="A123" s="97"/>
      <c r="B123" s="123" t="s">
        <v>104</v>
      </c>
      <c r="C123" s="124"/>
      <c r="D123" s="239"/>
      <c r="E123" s="241">
        <v>0</v>
      </c>
      <c r="F123" s="144">
        <v>8</v>
      </c>
      <c r="G123" s="145">
        <v>20</v>
      </c>
      <c r="H123" s="146">
        <v>90000</v>
      </c>
      <c r="I123" s="146">
        <v>1600</v>
      </c>
      <c r="J123" s="148">
        <v>7</v>
      </c>
      <c r="K123" s="221">
        <f>IF(I123=0,"None",I123/F123)</f>
        <v>200</v>
      </c>
      <c r="L123" s="221">
        <f>IF(I123=0,"None",I123/G123)</f>
        <v>80</v>
      </c>
      <c r="M123" s="221">
        <f>IF(I123=0,"None",I123/(F123+G123))</f>
        <v>57.142857142857146</v>
      </c>
      <c r="N123" s="210">
        <f>IF(H123="Loot",0,I123/H123)</f>
        <v>0.017777777777777778</v>
      </c>
      <c r="O123" s="191" t="s">
        <v>36</v>
      </c>
      <c r="P123" s="196">
        <f>SUM(W117:W139)</f>
        <v>25</v>
      </c>
      <c r="Q123" s="200"/>
      <c r="R123" s="42">
        <f t="shared" si="9"/>
        <v>39999.43782222194</v>
      </c>
      <c r="S123" s="149">
        <f t="shared" si="8"/>
        <v>837956778</v>
      </c>
      <c r="T123" s="149"/>
      <c r="U123" s="36">
        <f t="shared" si="10"/>
        <v>119</v>
      </c>
      <c r="V123" s="104"/>
      <c r="W123" s="8">
        <f t="shared" si="11"/>
        <v>0</v>
      </c>
      <c r="X123" s="8">
        <f t="shared" si="12"/>
        <v>0</v>
      </c>
      <c r="Y123" s="105">
        <f t="shared" si="13"/>
        <v>0</v>
      </c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5" customHeight="1">
      <c r="A124" s="97"/>
      <c r="B124" s="123"/>
      <c r="C124" s="124"/>
      <c r="D124" s="239"/>
      <c r="E124" s="241"/>
      <c r="F124" s="144"/>
      <c r="G124" s="145"/>
      <c r="H124" s="146"/>
      <c r="I124" s="146"/>
      <c r="J124" s="148"/>
      <c r="K124" s="222"/>
      <c r="L124" s="222"/>
      <c r="M124" s="222"/>
      <c r="N124" s="211"/>
      <c r="O124" s="186"/>
      <c r="P124" s="198"/>
      <c r="Q124" s="201"/>
      <c r="R124" s="42">
        <f t="shared" si="9"/>
        <v>39999.4794888886</v>
      </c>
      <c r="S124" s="149">
        <f t="shared" si="8"/>
        <v>844934178</v>
      </c>
      <c r="T124" s="149"/>
      <c r="U124" s="36">
        <f t="shared" si="10"/>
        <v>120</v>
      </c>
      <c r="V124" s="104"/>
      <c r="W124" s="8"/>
      <c r="X124" s="8"/>
      <c r="Y124" s="105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5" customHeight="1">
      <c r="A125" s="97"/>
      <c r="B125" s="123" t="s">
        <v>105</v>
      </c>
      <c r="C125" s="124"/>
      <c r="D125" s="239"/>
      <c r="E125" s="241">
        <v>0</v>
      </c>
      <c r="F125" s="129">
        <v>27</v>
      </c>
      <c r="G125" s="131">
        <v>15</v>
      </c>
      <c r="H125" s="135">
        <v>200000</v>
      </c>
      <c r="I125" s="135">
        <v>3000</v>
      </c>
      <c r="J125" s="139">
        <v>11</v>
      </c>
      <c r="K125" s="210">
        <f>IF(I125=0,"None",I125/F125)</f>
        <v>111.11111111111111</v>
      </c>
      <c r="L125" s="210">
        <f>IF(I125=0,"None",I125/G125)</f>
        <v>200</v>
      </c>
      <c r="M125" s="210">
        <f>IF(I125=0,"None",I125/(F125+G125))</f>
        <v>71.42857142857143</v>
      </c>
      <c r="N125" s="210">
        <f>IF(H125="Loot",0,I125/H125)</f>
        <v>0.015</v>
      </c>
      <c r="R125" s="42">
        <f t="shared" si="9"/>
        <v>39999.52115555527</v>
      </c>
      <c r="S125" s="149">
        <f t="shared" si="8"/>
        <v>851911578</v>
      </c>
      <c r="T125" s="149"/>
      <c r="U125" s="36">
        <f t="shared" si="10"/>
        <v>121</v>
      </c>
      <c r="V125" s="83" t="str">
        <f>IF($C$13=60,"5 Days","")</f>
        <v>5 Days</v>
      </c>
      <c r="W125" s="8">
        <f t="shared" si="11"/>
        <v>0</v>
      </c>
      <c r="X125" s="8">
        <f t="shared" si="12"/>
        <v>0</v>
      </c>
      <c r="Y125" s="105">
        <f t="shared" si="13"/>
        <v>0</v>
      </c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5" customHeight="1">
      <c r="A126" s="97"/>
      <c r="B126" s="123"/>
      <c r="C126" s="124"/>
      <c r="D126" s="239"/>
      <c r="E126" s="241"/>
      <c r="F126" s="129"/>
      <c r="G126" s="131"/>
      <c r="H126" s="135"/>
      <c r="I126" s="135"/>
      <c r="J126" s="139"/>
      <c r="K126" s="211"/>
      <c r="L126" s="211"/>
      <c r="M126" s="211"/>
      <c r="N126" s="211"/>
      <c r="R126" s="42">
        <f t="shared" si="9"/>
        <v>39999.56282222193</v>
      </c>
      <c r="S126" s="149">
        <f t="shared" si="8"/>
        <v>858888978</v>
      </c>
      <c r="T126" s="149"/>
      <c r="U126" s="36">
        <f t="shared" si="10"/>
        <v>122</v>
      </c>
      <c r="V126" s="104"/>
      <c r="W126" s="8"/>
      <c r="X126" s="8"/>
      <c r="Y126" s="10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5" customHeight="1">
      <c r="A127" s="97"/>
      <c r="B127" s="123" t="s">
        <v>106</v>
      </c>
      <c r="C127" s="124"/>
      <c r="D127" s="239"/>
      <c r="E127" s="241">
        <v>0</v>
      </c>
      <c r="F127" s="144">
        <v>45</v>
      </c>
      <c r="G127" s="145">
        <v>10</v>
      </c>
      <c r="H127" s="146">
        <v>400000</v>
      </c>
      <c r="I127" s="146">
        <v>5200</v>
      </c>
      <c r="J127" s="148">
        <v>16</v>
      </c>
      <c r="K127" s="221">
        <f>IF(I127=0,"None",I127/F127)</f>
        <v>115.55555555555556</v>
      </c>
      <c r="L127" s="221">
        <f>IF(I127=0,"None",I127/G127)</f>
        <v>520</v>
      </c>
      <c r="M127" s="221">
        <f>IF(I127=0,"None",I127/(F127+G127))</f>
        <v>94.54545454545455</v>
      </c>
      <c r="N127" s="210">
        <f>IF(H127="Loot",0,I127/H127)</f>
        <v>0.013</v>
      </c>
      <c r="O127" s="93"/>
      <c r="P127" s="94"/>
      <c r="Q127" s="94"/>
      <c r="R127" s="42">
        <f t="shared" si="9"/>
        <v>39999.604488888595</v>
      </c>
      <c r="S127" s="149">
        <f t="shared" si="8"/>
        <v>865866378</v>
      </c>
      <c r="T127" s="149"/>
      <c r="U127" s="36">
        <f t="shared" si="10"/>
        <v>123</v>
      </c>
      <c r="V127" s="2"/>
      <c r="W127" s="8">
        <f t="shared" si="11"/>
        <v>0</v>
      </c>
      <c r="X127" s="8">
        <f t="shared" si="12"/>
        <v>0</v>
      </c>
      <c r="Y127" s="105">
        <f t="shared" si="13"/>
        <v>0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5" customHeight="1">
      <c r="A128" s="97"/>
      <c r="B128" s="123"/>
      <c r="C128" s="124"/>
      <c r="D128" s="239"/>
      <c r="E128" s="241"/>
      <c r="F128" s="144"/>
      <c r="G128" s="145"/>
      <c r="H128" s="146"/>
      <c r="I128" s="146"/>
      <c r="J128" s="148"/>
      <c r="K128" s="245"/>
      <c r="L128" s="245"/>
      <c r="M128" s="245"/>
      <c r="N128" s="244"/>
      <c r="R128" s="42">
        <f t="shared" si="9"/>
        <v>39999.64615555526</v>
      </c>
      <c r="S128" s="149">
        <f t="shared" si="8"/>
        <v>872843778</v>
      </c>
      <c r="T128" s="149"/>
      <c r="U128" s="36">
        <f t="shared" si="10"/>
        <v>124</v>
      </c>
      <c r="V128" s="2"/>
      <c r="W128" s="8"/>
      <c r="X128" s="8"/>
      <c r="Y128" s="105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5" customHeight="1">
      <c r="A129" s="1"/>
      <c r="B129" s="123" t="s">
        <v>154</v>
      </c>
      <c r="C129" s="124"/>
      <c r="D129" s="239"/>
      <c r="E129" s="241">
        <v>0</v>
      </c>
      <c r="F129" s="129">
        <v>42</v>
      </c>
      <c r="G129" s="131">
        <v>28</v>
      </c>
      <c r="H129" s="135">
        <v>720000</v>
      </c>
      <c r="I129" s="135">
        <v>8000</v>
      </c>
      <c r="J129" s="139">
        <v>23</v>
      </c>
      <c r="K129" s="244">
        <f>IF(I129=0,"None",I129/F129)</f>
        <v>190.47619047619048</v>
      </c>
      <c r="L129" s="244">
        <f>IF(I129=0,"None",I129/G129)</f>
        <v>285.7142857142857</v>
      </c>
      <c r="M129" s="244">
        <f>IF(I129=0,"None",I129/(F129+G129))</f>
        <v>114.28571428571429</v>
      </c>
      <c r="N129" s="244">
        <f>IF(H129="Loot",0,I129/H129)</f>
        <v>0.011111111111111112</v>
      </c>
      <c r="R129" s="42">
        <f t="shared" si="9"/>
        <v>39999.687822221924</v>
      </c>
      <c r="S129" s="149">
        <f t="shared" si="8"/>
        <v>879821178</v>
      </c>
      <c r="T129" s="149"/>
      <c r="U129" s="36">
        <f t="shared" si="10"/>
        <v>125</v>
      </c>
      <c r="V129" s="2"/>
      <c r="W129" s="8">
        <f t="shared" si="11"/>
        <v>0</v>
      </c>
      <c r="X129" s="8">
        <f t="shared" si="12"/>
        <v>0</v>
      </c>
      <c r="Y129" s="105">
        <f t="shared" si="13"/>
        <v>0</v>
      </c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5" customHeight="1">
      <c r="A130" s="1"/>
      <c r="B130" s="123"/>
      <c r="C130" s="124"/>
      <c r="D130" s="239"/>
      <c r="E130" s="241"/>
      <c r="F130" s="129"/>
      <c r="G130" s="131"/>
      <c r="H130" s="135"/>
      <c r="I130" s="135"/>
      <c r="J130" s="139"/>
      <c r="K130" s="211"/>
      <c r="L130" s="211"/>
      <c r="M130" s="211"/>
      <c r="N130" s="211"/>
      <c r="R130" s="42">
        <f t="shared" si="9"/>
        <v>39999.72948888859</v>
      </c>
      <c r="S130" s="149">
        <f t="shared" si="8"/>
        <v>886798578</v>
      </c>
      <c r="T130" s="149"/>
      <c r="U130" s="36">
        <f t="shared" si="10"/>
        <v>126</v>
      </c>
      <c r="V130" s="2"/>
      <c r="W130" s="8"/>
      <c r="X130" s="8"/>
      <c r="Y130" s="105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5" customHeight="1">
      <c r="A131" s="1"/>
      <c r="B131" s="123" t="s">
        <v>135</v>
      </c>
      <c r="C131" s="124"/>
      <c r="D131" s="239"/>
      <c r="E131" s="241">
        <v>0</v>
      </c>
      <c r="F131" s="144">
        <v>40</v>
      </c>
      <c r="G131" s="145">
        <v>60</v>
      </c>
      <c r="H131" s="146">
        <v>1300000</v>
      </c>
      <c r="I131" s="146">
        <v>15000</v>
      </c>
      <c r="J131" s="148">
        <v>32</v>
      </c>
      <c r="K131" s="221">
        <f>IF(I131=0,"None",I131/F131)</f>
        <v>375</v>
      </c>
      <c r="L131" s="221">
        <f>IF(I131=0,"None",I131/G131)</f>
        <v>250</v>
      </c>
      <c r="M131" s="221">
        <f>IF(I131=0,"None",I131/(F131+G131))</f>
        <v>150</v>
      </c>
      <c r="N131" s="210">
        <f>IF(H131="Loot",0,I131/H131)</f>
        <v>0.011538461538461539</v>
      </c>
      <c r="R131" s="42">
        <f t="shared" si="9"/>
        <v>39999.77115555525</v>
      </c>
      <c r="S131" s="149">
        <f t="shared" si="8"/>
        <v>893775978</v>
      </c>
      <c r="T131" s="149"/>
      <c r="U131" s="36">
        <f t="shared" si="10"/>
        <v>127</v>
      </c>
      <c r="V131" s="2"/>
      <c r="W131" s="8">
        <f t="shared" si="11"/>
        <v>0</v>
      </c>
      <c r="X131" s="8">
        <f t="shared" si="12"/>
        <v>0</v>
      </c>
      <c r="Y131" s="105">
        <f t="shared" si="13"/>
        <v>0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5" customHeight="1">
      <c r="A132" s="1"/>
      <c r="B132" s="123"/>
      <c r="C132" s="124"/>
      <c r="D132" s="239"/>
      <c r="E132" s="241"/>
      <c r="F132" s="144"/>
      <c r="G132" s="145"/>
      <c r="H132" s="146"/>
      <c r="I132" s="146"/>
      <c r="J132" s="148"/>
      <c r="K132" s="222"/>
      <c r="L132" s="222"/>
      <c r="M132" s="222"/>
      <c r="N132" s="211"/>
      <c r="O132" s="1"/>
      <c r="P132" s="1"/>
      <c r="Q132" s="1"/>
      <c r="R132" s="42">
        <f t="shared" si="9"/>
        <v>39999.81282222192</v>
      </c>
      <c r="S132" s="149">
        <f t="shared" si="8"/>
        <v>900753378</v>
      </c>
      <c r="T132" s="149"/>
      <c r="U132" s="36">
        <f t="shared" si="10"/>
        <v>128</v>
      </c>
      <c r="V132" s="2"/>
      <c r="W132" s="8"/>
      <c r="X132" s="8"/>
      <c r="Y132" s="105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5" customHeight="1">
      <c r="A133" s="1"/>
      <c r="B133" s="123" t="s">
        <v>158</v>
      </c>
      <c r="C133" s="124"/>
      <c r="D133" s="239"/>
      <c r="E133" s="241">
        <v>1</v>
      </c>
      <c r="F133" s="129">
        <v>34</v>
      </c>
      <c r="G133" s="131">
        <v>14</v>
      </c>
      <c r="H133" s="216" t="s">
        <v>41</v>
      </c>
      <c r="I133" s="135">
        <v>4000</v>
      </c>
      <c r="J133" s="139">
        <v>25</v>
      </c>
      <c r="K133" s="210">
        <f>IF(I133=0,"None",I133/F133)</f>
        <v>117.6470588235294</v>
      </c>
      <c r="L133" s="210">
        <f>IF(I133=0,"None",I133/G133)</f>
        <v>285.7142857142857</v>
      </c>
      <c r="M133" s="210">
        <f>IF(I133=0,"None",I133/(F133+G133))</f>
        <v>83.33333333333333</v>
      </c>
      <c r="N133" s="210">
        <f>IF(H133="Loot",0,I133/H133)</f>
        <v>0</v>
      </c>
      <c r="O133" s="1"/>
      <c r="P133" s="1"/>
      <c r="Q133" s="1"/>
      <c r="R133" s="42">
        <f t="shared" si="9"/>
        <v>39999.85448888858</v>
      </c>
      <c r="S133" s="149">
        <f aca="true" t="shared" si="14" ref="S133:S164">S132+$P$19</f>
        <v>907730778</v>
      </c>
      <c r="T133" s="149"/>
      <c r="U133" s="36">
        <f t="shared" si="10"/>
        <v>129</v>
      </c>
      <c r="V133" s="2"/>
      <c r="W133" s="8">
        <f t="shared" si="11"/>
        <v>14</v>
      </c>
      <c r="X133" s="8">
        <f t="shared" si="12"/>
        <v>34</v>
      </c>
      <c r="Y133" s="105">
        <f t="shared" si="13"/>
        <v>4000</v>
      </c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5" customHeight="1">
      <c r="A134" s="1"/>
      <c r="B134" s="123"/>
      <c r="C134" s="124"/>
      <c r="D134" s="239"/>
      <c r="E134" s="241"/>
      <c r="F134" s="129"/>
      <c r="G134" s="131"/>
      <c r="H134" s="216"/>
      <c r="I134" s="135"/>
      <c r="J134" s="139"/>
      <c r="K134" s="211"/>
      <c r="L134" s="211"/>
      <c r="M134" s="211"/>
      <c r="N134" s="211"/>
      <c r="O134" s="1"/>
      <c r="P134" s="1"/>
      <c r="Q134" s="1"/>
      <c r="R134" s="42">
        <f aca="true" t="shared" si="15" ref="R134:R197">R133+TIME(0,$C$13,0)</f>
        <v>39999.896155555245</v>
      </c>
      <c r="S134" s="149">
        <f t="shared" si="14"/>
        <v>914708178</v>
      </c>
      <c r="T134" s="149"/>
      <c r="U134" s="36">
        <f>U133+1</f>
        <v>130</v>
      </c>
      <c r="V134" s="2"/>
      <c r="W134" s="8"/>
      <c r="X134" s="8"/>
      <c r="Y134" s="105"/>
      <c r="Z134" s="3"/>
      <c r="AA134" s="3"/>
      <c r="AB134" s="3"/>
      <c r="AC134" s="3"/>
      <c r="AD134" s="3"/>
      <c r="AE134" s="3"/>
      <c r="AF134" s="3"/>
      <c r="AG134" s="3"/>
      <c r="AH134" s="3"/>
      <c r="AI134" s="8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5" customHeight="1">
      <c r="A135" s="1"/>
      <c r="B135" s="123" t="s">
        <v>114</v>
      </c>
      <c r="C135" s="124"/>
      <c r="D135" s="239"/>
      <c r="E135" s="241">
        <v>1</v>
      </c>
      <c r="F135" s="144">
        <v>11</v>
      </c>
      <c r="G135" s="145">
        <v>11</v>
      </c>
      <c r="H135" s="223" t="s">
        <v>41</v>
      </c>
      <c r="I135" s="146">
        <v>0</v>
      </c>
      <c r="J135" s="148" t="s">
        <v>172</v>
      </c>
      <c r="K135" s="221" t="str">
        <f>IF(I135=0,"None",I135/F135)</f>
        <v>None</v>
      </c>
      <c r="L135" s="221" t="str">
        <f>IF(I135=0,"None",I135/G135)</f>
        <v>None</v>
      </c>
      <c r="M135" s="221" t="str">
        <f>IF(I135=0,"None",I135/(F135+G135))</f>
        <v>None</v>
      </c>
      <c r="N135" s="210">
        <f>IF(H135="Loot",0,I135/H135)</f>
        <v>0</v>
      </c>
      <c r="O135" s="1"/>
      <c r="P135" s="1"/>
      <c r="Q135" s="1"/>
      <c r="R135" s="42">
        <f t="shared" si="15"/>
        <v>39999.93782222191</v>
      </c>
      <c r="S135" s="149">
        <f t="shared" si="14"/>
        <v>921685578</v>
      </c>
      <c r="T135" s="149"/>
      <c r="U135" s="36">
        <f aca="true" t="shared" si="16" ref="U135:U198">U134+1</f>
        <v>131</v>
      </c>
      <c r="V135" s="2"/>
      <c r="W135" s="8">
        <f t="shared" si="11"/>
        <v>11</v>
      </c>
      <c r="X135" s="8">
        <f>E135*F135</f>
        <v>11</v>
      </c>
      <c r="Y135" s="105">
        <f>E135*I135</f>
        <v>0</v>
      </c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ht="15" customHeight="1">
      <c r="A136" s="1"/>
      <c r="B136" s="123"/>
      <c r="C136" s="124"/>
      <c r="D136" s="239"/>
      <c r="E136" s="241"/>
      <c r="F136" s="144"/>
      <c r="G136" s="145"/>
      <c r="H136" s="223"/>
      <c r="I136" s="146"/>
      <c r="J136" s="148"/>
      <c r="K136" s="222"/>
      <c r="L136" s="222"/>
      <c r="M136" s="222"/>
      <c r="N136" s="211"/>
      <c r="O136" s="1"/>
      <c r="P136" s="1"/>
      <c r="Q136" s="1"/>
      <c r="R136" s="42">
        <f t="shared" si="15"/>
        <v>39999.97948888857</v>
      </c>
      <c r="S136" s="149">
        <f t="shared" si="14"/>
        <v>928662978</v>
      </c>
      <c r="T136" s="149"/>
      <c r="U136" s="36">
        <f t="shared" si="16"/>
        <v>132</v>
      </c>
      <c r="V136" s="2"/>
      <c r="W136" s="8"/>
      <c r="X136" s="8"/>
      <c r="Y136" s="105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ht="15" customHeight="1">
      <c r="A137" s="1"/>
      <c r="B137" s="123" t="s">
        <v>126</v>
      </c>
      <c r="C137" s="124"/>
      <c r="D137" s="239"/>
      <c r="E137" s="241">
        <v>0</v>
      </c>
      <c r="F137" s="129">
        <v>9</v>
      </c>
      <c r="G137" s="131">
        <v>4</v>
      </c>
      <c r="H137" s="216" t="s">
        <v>41</v>
      </c>
      <c r="I137" s="135">
        <v>600</v>
      </c>
      <c r="J137" s="139"/>
      <c r="K137" s="210">
        <f>IF(I137=0,"None",I137/F137)</f>
        <v>66.66666666666667</v>
      </c>
      <c r="L137" s="210">
        <f>IF(I137=0,"None",I137/G137)</f>
        <v>150</v>
      </c>
      <c r="M137" s="210">
        <f>IF(I137=0,"None",I137/(F137+G137))</f>
        <v>46.15384615384615</v>
      </c>
      <c r="N137" s="210">
        <f>IF(H137="Loot",0,I137/H137)</f>
        <v>0</v>
      </c>
      <c r="O137" s="1"/>
      <c r="P137" s="1"/>
      <c r="Q137" s="1"/>
      <c r="R137" s="42">
        <f t="shared" si="15"/>
        <v>40000.02115555524</v>
      </c>
      <c r="S137" s="149">
        <f t="shared" si="14"/>
        <v>935640378</v>
      </c>
      <c r="T137" s="149"/>
      <c r="U137" s="36">
        <f t="shared" si="16"/>
        <v>133</v>
      </c>
      <c r="V137" s="2"/>
      <c r="W137" s="8">
        <f t="shared" si="11"/>
        <v>0</v>
      </c>
      <c r="X137" s="8">
        <f>E137*F137</f>
        <v>0</v>
      </c>
      <c r="Y137" s="105">
        <f>E137*I137</f>
        <v>0</v>
      </c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ht="15" customHeight="1">
      <c r="A138" s="1"/>
      <c r="B138" s="123"/>
      <c r="C138" s="124"/>
      <c r="D138" s="239"/>
      <c r="E138" s="241"/>
      <c r="F138" s="129"/>
      <c r="G138" s="131"/>
      <c r="H138" s="216"/>
      <c r="I138" s="135"/>
      <c r="J138" s="139"/>
      <c r="K138" s="211"/>
      <c r="L138" s="211"/>
      <c r="M138" s="211"/>
      <c r="N138" s="211"/>
      <c r="O138" s="1"/>
      <c r="P138" s="1"/>
      <c r="Q138" s="1"/>
      <c r="R138" s="42">
        <f t="shared" si="15"/>
        <v>40000.0628222219</v>
      </c>
      <c r="S138" s="149">
        <f t="shared" si="14"/>
        <v>942617778</v>
      </c>
      <c r="T138" s="149"/>
      <c r="U138" s="36">
        <f t="shared" si="16"/>
        <v>134</v>
      </c>
      <c r="V138" s="2"/>
      <c r="W138" s="8"/>
      <c r="X138" s="8"/>
      <c r="Y138" s="105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93" ht="15" customHeight="1">
      <c r="A139" s="1"/>
      <c r="B139" s="123" t="s">
        <v>134</v>
      </c>
      <c r="C139" s="124"/>
      <c r="D139" s="239"/>
      <c r="E139" s="241">
        <v>0</v>
      </c>
      <c r="F139" s="144">
        <v>65</v>
      </c>
      <c r="G139" s="145">
        <v>20</v>
      </c>
      <c r="H139" s="223" t="s">
        <v>41</v>
      </c>
      <c r="I139" s="231">
        <v>12500</v>
      </c>
      <c r="J139" s="233"/>
      <c r="K139" s="237">
        <f>IF(I139=0,"None",I139/F139)</f>
        <v>192.30769230769232</v>
      </c>
      <c r="L139" s="237">
        <f>IF(I139=0,"None",I139/G139)</f>
        <v>625</v>
      </c>
      <c r="M139" s="237">
        <f>IF(I139=0,"None",I139/(F139+G139))</f>
        <v>147.05882352941177</v>
      </c>
      <c r="N139" s="210">
        <f>IF(H139="Loot",0,I139/H139)</f>
        <v>0</v>
      </c>
      <c r="O139" s="1"/>
      <c r="P139" s="1"/>
      <c r="Q139" s="1"/>
      <c r="R139" s="42">
        <f t="shared" si="15"/>
        <v>40000.104488888566</v>
      </c>
      <c r="S139" s="149">
        <f t="shared" si="14"/>
        <v>949595178</v>
      </c>
      <c r="T139" s="149"/>
      <c r="U139" s="36">
        <f t="shared" si="16"/>
        <v>135</v>
      </c>
      <c r="V139" s="2"/>
      <c r="W139" s="8">
        <f t="shared" si="11"/>
        <v>0</v>
      </c>
      <c r="X139" s="8">
        <f>E139*F139</f>
        <v>0</v>
      </c>
      <c r="Y139" s="105">
        <f>E139*I139</f>
        <v>0</v>
      </c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3"/>
      <c r="CG139" s="3"/>
      <c r="CH139" s="3"/>
      <c r="CI139" s="3"/>
      <c r="CJ139" s="3"/>
      <c r="CK139" s="3"/>
      <c r="CL139" s="3"/>
      <c r="CM139" s="3"/>
      <c r="CN139" s="3"/>
      <c r="CO139" s="3"/>
    </row>
    <row r="140" spans="1:93" ht="15">
      <c r="A140" s="1"/>
      <c r="B140" s="126"/>
      <c r="C140" s="127"/>
      <c r="D140" s="240"/>
      <c r="E140" s="242"/>
      <c r="F140" s="163"/>
      <c r="G140" s="161"/>
      <c r="H140" s="243"/>
      <c r="I140" s="232"/>
      <c r="J140" s="169"/>
      <c r="K140" s="238"/>
      <c r="L140" s="238"/>
      <c r="M140" s="238"/>
      <c r="N140" s="211"/>
      <c r="O140" s="1"/>
      <c r="P140" s="1"/>
      <c r="Q140" s="1"/>
      <c r="R140" s="42">
        <f t="shared" si="15"/>
        <v>40000.14615555523</v>
      </c>
      <c r="S140" s="149">
        <f t="shared" si="14"/>
        <v>956572578</v>
      </c>
      <c r="T140" s="149"/>
      <c r="U140" s="36">
        <f t="shared" si="16"/>
        <v>136</v>
      </c>
      <c r="V140" s="2"/>
      <c r="W140" s="8"/>
      <c r="X140" s="8"/>
      <c r="Y140" s="105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3"/>
      <c r="CG140" s="3"/>
      <c r="CH140" s="3"/>
      <c r="CI140" s="3"/>
      <c r="CJ140" s="3"/>
      <c r="CK140" s="3"/>
      <c r="CL140" s="3"/>
      <c r="CM140" s="3"/>
      <c r="CN140" s="3"/>
      <c r="CO140" s="3"/>
    </row>
    <row r="141" spans="1:93" ht="15" customHeight="1">
      <c r="A141" s="1"/>
      <c r="B141" s="1"/>
      <c r="C141" s="1"/>
      <c r="D141" s="98"/>
      <c r="E141" s="98"/>
      <c r="F141" s="98"/>
      <c r="G141" s="98"/>
      <c r="H141" s="98"/>
      <c r="I141" s="98"/>
      <c r="K141" s="234" t="s">
        <v>40</v>
      </c>
      <c r="L141" s="235"/>
      <c r="M141" s="235"/>
      <c r="N141" s="236"/>
      <c r="O141" s="98"/>
      <c r="P141" s="1"/>
      <c r="Q141" s="1"/>
      <c r="R141" s="42">
        <f t="shared" si="15"/>
        <v>40000.187822221895</v>
      </c>
      <c r="S141" s="149">
        <f t="shared" si="14"/>
        <v>963549978</v>
      </c>
      <c r="T141" s="149"/>
      <c r="U141" s="36">
        <f t="shared" si="16"/>
        <v>137</v>
      </c>
      <c r="V141" s="2"/>
      <c r="W141" s="8"/>
      <c r="X141" s="8"/>
      <c r="Y141" s="8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ht="15" customHeight="1">
      <c r="A142" s="1"/>
      <c r="B142" s="155" t="s">
        <v>107</v>
      </c>
      <c r="C142" s="157"/>
      <c r="D142" s="99" t="s">
        <v>48</v>
      </c>
      <c r="E142" s="87" t="s">
        <v>13</v>
      </c>
      <c r="F142" s="87" t="s">
        <v>35</v>
      </c>
      <c r="G142" s="87" t="s">
        <v>36</v>
      </c>
      <c r="H142" s="87" t="s">
        <v>30</v>
      </c>
      <c r="I142" s="87" t="s">
        <v>37</v>
      </c>
      <c r="J142" s="100" t="s">
        <v>171</v>
      </c>
      <c r="K142" s="87" t="s">
        <v>35</v>
      </c>
      <c r="L142" s="87" t="s">
        <v>36</v>
      </c>
      <c r="M142" s="87" t="s">
        <v>39</v>
      </c>
      <c r="N142" s="78" t="s">
        <v>38</v>
      </c>
      <c r="O142" s="205" t="s">
        <v>146</v>
      </c>
      <c r="P142" s="206"/>
      <c r="Q142" s="207"/>
      <c r="R142" s="42">
        <f t="shared" si="15"/>
        <v>40000.22948888856</v>
      </c>
      <c r="S142" s="149">
        <f t="shared" si="14"/>
        <v>970527378</v>
      </c>
      <c r="T142" s="149"/>
      <c r="U142" s="36">
        <f t="shared" si="16"/>
        <v>138</v>
      </c>
      <c r="V142" s="2"/>
      <c r="W142" s="8" t="s">
        <v>226</v>
      </c>
      <c r="X142" s="8" t="s">
        <v>227</v>
      </c>
      <c r="Y142" s="8" t="s">
        <v>228</v>
      </c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93" ht="15" customHeight="1">
      <c r="A143" s="1"/>
      <c r="B143" s="227" t="s">
        <v>108</v>
      </c>
      <c r="C143" s="228"/>
      <c r="D143" s="229"/>
      <c r="E143" s="230">
        <v>0</v>
      </c>
      <c r="F143" s="151">
        <v>6</v>
      </c>
      <c r="G143" s="152">
        <v>1</v>
      </c>
      <c r="H143" s="153">
        <v>7500</v>
      </c>
      <c r="I143" s="153">
        <v>300</v>
      </c>
      <c r="J143" s="226">
        <v>1</v>
      </c>
      <c r="K143" s="208">
        <f>IF(I143=0,"None",I143/F143)</f>
        <v>50</v>
      </c>
      <c r="L143" s="210">
        <f>IF(I143=0,"None",I143/G143)</f>
        <v>300</v>
      </c>
      <c r="M143" s="210">
        <f>IF(I143=0,"None",I143/(F143+G143))</f>
        <v>42.857142857142854</v>
      </c>
      <c r="N143" s="210">
        <f>IF(H143="Loot",0,I143/H143)</f>
        <v>0.04</v>
      </c>
      <c r="O143" s="185" t="s">
        <v>42</v>
      </c>
      <c r="P143" s="202">
        <f>SUM(E143:E169)</f>
        <v>2</v>
      </c>
      <c r="Q143" s="204"/>
      <c r="R143" s="42">
        <f t="shared" si="15"/>
        <v>40000.27115555522</v>
      </c>
      <c r="S143" s="149">
        <f t="shared" si="14"/>
        <v>977504778</v>
      </c>
      <c r="T143" s="149"/>
      <c r="U143" s="36">
        <f t="shared" si="16"/>
        <v>139</v>
      </c>
      <c r="V143" s="2"/>
      <c r="W143" s="8">
        <f>E143*G143</f>
        <v>0</v>
      </c>
      <c r="X143" s="8">
        <f>E143*F143</f>
        <v>0</v>
      </c>
      <c r="Y143" s="105">
        <f>E143*I143</f>
        <v>0</v>
      </c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3"/>
      <c r="CG143" s="3"/>
      <c r="CH143" s="3"/>
      <c r="CI143" s="3"/>
      <c r="CJ143" s="3"/>
      <c r="CK143" s="3"/>
      <c r="CL143" s="3"/>
      <c r="CM143" s="3"/>
      <c r="CN143" s="3"/>
      <c r="CO143" s="3"/>
    </row>
    <row r="144" spans="1:93" ht="15" customHeight="1">
      <c r="A144" s="1"/>
      <c r="B144" s="123"/>
      <c r="C144" s="124"/>
      <c r="D144" s="212"/>
      <c r="E144" s="214"/>
      <c r="F144" s="129"/>
      <c r="G144" s="131"/>
      <c r="H144" s="135"/>
      <c r="I144" s="135"/>
      <c r="J144" s="139"/>
      <c r="K144" s="209"/>
      <c r="L144" s="211"/>
      <c r="M144" s="211"/>
      <c r="N144" s="211"/>
      <c r="O144" s="191"/>
      <c r="P144" s="196"/>
      <c r="Q144" s="200"/>
      <c r="R144" s="42">
        <f t="shared" si="15"/>
        <v>40000.31282222189</v>
      </c>
      <c r="S144" s="149">
        <f t="shared" si="14"/>
        <v>984482178</v>
      </c>
      <c r="T144" s="149"/>
      <c r="U144" s="36">
        <f t="shared" si="16"/>
        <v>140</v>
      </c>
      <c r="V144" s="2"/>
      <c r="W144" s="8"/>
      <c r="X144" s="8"/>
      <c r="Y144" s="10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3"/>
      <c r="CG144" s="3"/>
      <c r="CH144" s="3"/>
      <c r="CI144" s="3"/>
      <c r="CJ144" s="3"/>
      <c r="CK144" s="3"/>
      <c r="CL144" s="3"/>
      <c r="CM144" s="3"/>
      <c r="CN144" s="3"/>
      <c r="CO144" s="3"/>
    </row>
    <row r="145" spans="1:93" ht="15" customHeight="1">
      <c r="A145" s="1"/>
      <c r="B145" s="123" t="s">
        <v>109</v>
      </c>
      <c r="C145" s="124"/>
      <c r="D145" s="212"/>
      <c r="E145" s="214">
        <v>0</v>
      </c>
      <c r="F145" s="144">
        <v>6</v>
      </c>
      <c r="G145" s="145">
        <v>4</v>
      </c>
      <c r="H145" s="146">
        <v>14000</v>
      </c>
      <c r="I145" s="146">
        <v>600</v>
      </c>
      <c r="J145" s="148">
        <v>2</v>
      </c>
      <c r="K145" s="219">
        <f>IF(I145=0,"None",I145/F145)</f>
        <v>100</v>
      </c>
      <c r="L145" s="221">
        <f>IF(I145=0,"None",I145/G145)</f>
        <v>150</v>
      </c>
      <c r="M145" s="221">
        <f>IF(I145=0,"None",I145/(F145+G145))</f>
        <v>60</v>
      </c>
      <c r="N145" s="210">
        <f>IF(H145="Loot",0,I145/H145)</f>
        <v>0.04285714285714286</v>
      </c>
      <c r="O145" s="191" t="s">
        <v>37</v>
      </c>
      <c r="P145" s="192">
        <f>SUM(Y143:Y165)</f>
        <v>0</v>
      </c>
      <c r="Q145" s="225"/>
      <c r="R145" s="42">
        <f t="shared" si="15"/>
        <v>40000.35448888855</v>
      </c>
      <c r="S145" s="149">
        <f t="shared" si="14"/>
        <v>991459578</v>
      </c>
      <c r="T145" s="149"/>
      <c r="U145" s="36">
        <f t="shared" si="16"/>
        <v>141</v>
      </c>
      <c r="V145" s="2"/>
      <c r="W145" s="8">
        <f>E145*G145</f>
        <v>0</v>
      </c>
      <c r="X145" s="8">
        <f>E145*F145</f>
        <v>0</v>
      </c>
      <c r="Y145" s="105">
        <f>E145*I145</f>
        <v>0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ht="15.75" customHeight="1">
      <c r="A146" s="1"/>
      <c r="B146" s="123"/>
      <c r="C146" s="124"/>
      <c r="D146" s="212"/>
      <c r="E146" s="214"/>
      <c r="F146" s="144"/>
      <c r="G146" s="145"/>
      <c r="H146" s="146"/>
      <c r="I146" s="146"/>
      <c r="J146" s="148"/>
      <c r="K146" s="220"/>
      <c r="L146" s="222"/>
      <c r="M146" s="222"/>
      <c r="N146" s="211"/>
      <c r="O146" s="191"/>
      <c r="P146" s="192"/>
      <c r="Q146" s="225"/>
      <c r="R146" s="42">
        <f t="shared" si="15"/>
        <v>40000.396155555216</v>
      </c>
      <c r="S146" s="149">
        <f t="shared" si="14"/>
        <v>998436978</v>
      </c>
      <c r="T146" s="149"/>
      <c r="U146" s="36">
        <f t="shared" si="16"/>
        <v>142</v>
      </c>
      <c r="V146" s="2"/>
      <c r="W146" s="8"/>
      <c r="X146" s="8"/>
      <c r="Y146" s="10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ht="15" customHeight="1">
      <c r="A147" s="1"/>
      <c r="B147" s="123" t="s">
        <v>110</v>
      </c>
      <c r="C147" s="124"/>
      <c r="D147" s="212"/>
      <c r="E147" s="214">
        <v>0</v>
      </c>
      <c r="F147" s="129">
        <v>12</v>
      </c>
      <c r="G147" s="131">
        <v>3</v>
      </c>
      <c r="H147" s="135">
        <v>32000</v>
      </c>
      <c r="I147" s="135">
        <v>1000</v>
      </c>
      <c r="J147" s="139">
        <v>5</v>
      </c>
      <c r="K147" s="208">
        <f>IF(I147=0,"None",I147/F147)</f>
        <v>83.33333333333333</v>
      </c>
      <c r="L147" s="210">
        <f>IF(I147=0,"None",I147/G147)</f>
        <v>333.3333333333333</v>
      </c>
      <c r="M147" s="210">
        <f>IF(I147=0,"None",I147/(F147+G147))</f>
        <v>66.66666666666667</v>
      </c>
      <c r="N147" s="210">
        <f>IF(H147="Loot",0,I147/H147)</f>
        <v>0.03125</v>
      </c>
      <c r="O147" s="191" t="s">
        <v>35</v>
      </c>
      <c r="P147" s="196">
        <f>SUM(X143:X165)</f>
        <v>26</v>
      </c>
      <c r="Q147" s="200"/>
      <c r="R147" s="42">
        <f t="shared" si="15"/>
        <v>40000.43782222188</v>
      </c>
      <c r="S147" s="149">
        <f t="shared" si="14"/>
        <v>1005414378</v>
      </c>
      <c r="T147" s="149"/>
      <c r="U147" s="36">
        <f t="shared" si="16"/>
        <v>143</v>
      </c>
      <c r="V147" s="2"/>
      <c r="W147" s="8">
        <f>E147*G147</f>
        <v>0</v>
      </c>
      <c r="X147" s="8">
        <f>E147*F147</f>
        <v>0</v>
      </c>
      <c r="Y147" s="105">
        <f>E147*I147</f>
        <v>0</v>
      </c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2:93" ht="15" customHeight="1">
      <c r="B148" s="123"/>
      <c r="C148" s="124"/>
      <c r="D148" s="212"/>
      <c r="E148" s="214"/>
      <c r="F148" s="129"/>
      <c r="G148" s="131"/>
      <c r="H148" s="135"/>
      <c r="I148" s="135"/>
      <c r="J148" s="139"/>
      <c r="K148" s="209"/>
      <c r="L148" s="211"/>
      <c r="M148" s="211"/>
      <c r="N148" s="211"/>
      <c r="O148" s="191"/>
      <c r="P148" s="196"/>
      <c r="Q148" s="200"/>
      <c r="R148" s="42">
        <f t="shared" si="15"/>
        <v>40000.479488888544</v>
      </c>
      <c r="S148" s="149">
        <f t="shared" si="14"/>
        <v>1012391778</v>
      </c>
      <c r="T148" s="149"/>
      <c r="U148" s="36">
        <f t="shared" si="16"/>
        <v>144</v>
      </c>
      <c r="V148" s="9"/>
      <c r="W148" s="8"/>
      <c r="X148" s="8"/>
      <c r="Y148" s="105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2:93" ht="15" customHeight="1">
      <c r="B149" s="123" t="s">
        <v>111</v>
      </c>
      <c r="C149" s="124"/>
      <c r="D149" s="212"/>
      <c r="E149" s="214">
        <v>0</v>
      </c>
      <c r="F149" s="144">
        <v>24</v>
      </c>
      <c r="G149" s="145">
        <v>5</v>
      </c>
      <c r="H149" s="146">
        <v>100000</v>
      </c>
      <c r="I149" s="146">
        <v>2200</v>
      </c>
      <c r="J149" s="148">
        <v>8</v>
      </c>
      <c r="K149" s="219">
        <f>IF(I149=0,"None",I149/F149)</f>
        <v>91.66666666666667</v>
      </c>
      <c r="L149" s="221">
        <f>IF(I149=0,"None",I149/G149)</f>
        <v>440</v>
      </c>
      <c r="M149" s="221">
        <f>IF(I149=0,"None",I149/(F149+G149))</f>
        <v>75.86206896551724</v>
      </c>
      <c r="N149" s="210">
        <f>IF(H149="Loot",0,I149/H149)</f>
        <v>0.022</v>
      </c>
      <c r="O149" s="191" t="s">
        <v>36</v>
      </c>
      <c r="P149" s="196">
        <f>SUM(W143:W165)</f>
        <v>13</v>
      </c>
      <c r="Q149" s="200"/>
      <c r="R149" s="42">
        <f t="shared" si="15"/>
        <v>40000.52115555521</v>
      </c>
      <c r="S149" s="149">
        <f t="shared" si="14"/>
        <v>1019369178</v>
      </c>
      <c r="T149" s="149"/>
      <c r="U149" s="36">
        <f t="shared" si="16"/>
        <v>145</v>
      </c>
      <c r="V149" s="83" t="str">
        <f>IF($C$13=60,"6 Days","")</f>
        <v>6 Days</v>
      </c>
      <c r="W149" s="8">
        <f>E149*G149</f>
        <v>0</v>
      </c>
      <c r="X149" s="8">
        <f>E149*F149</f>
        <v>0</v>
      </c>
      <c r="Y149" s="105">
        <f>E149*I149</f>
        <v>0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3"/>
      <c r="CG149" s="3"/>
      <c r="CH149" s="3"/>
      <c r="CI149" s="3"/>
      <c r="CJ149" s="3"/>
      <c r="CK149" s="3"/>
      <c r="CL149" s="3"/>
      <c r="CM149" s="3"/>
      <c r="CN149" s="3"/>
      <c r="CO149" s="3"/>
    </row>
    <row r="150" spans="2:93" ht="15" customHeight="1">
      <c r="B150" s="123"/>
      <c r="C150" s="124"/>
      <c r="D150" s="212"/>
      <c r="E150" s="214"/>
      <c r="F150" s="144"/>
      <c r="G150" s="145"/>
      <c r="H150" s="146"/>
      <c r="I150" s="146"/>
      <c r="J150" s="148"/>
      <c r="K150" s="220"/>
      <c r="L150" s="222"/>
      <c r="M150" s="222"/>
      <c r="N150" s="211"/>
      <c r="O150" s="186"/>
      <c r="P150" s="198"/>
      <c r="Q150" s="201"/>
      <c r="R150" s="42">
        <f t="shared" si="15"/>
        <v>40000.56282222187</v>
      </c>
      <c r="S150" s="149">
        <f t="shared" si="14"/>
        <v>1026346578</v>
      </c>
      <c r="T150" s="149"/>
      <c r="U150" s="36">
        <f t="shared" si="16"/>
        <v>146</v>
      </c>
      <c r="V150" s="9"/>
      <c r="W150" s="8"/>
      <c r="X150" s="8"/>
      <c r="Y150" s="105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2:93" ht="15" customHeight="1">
      <c r="B151" s="123" t="s">
        <v>139</v>
      </c>
      <c r="C151" s="124"/>
      <c r="D151" s="212"/>
      <c r="E151" s="214">
        <v>0</v>
      </c>
      <c r="F151" s="129">
        <v>25</v>
      </c>
      <c r="G151" s="131">
        <v>13</v>
      </c>
      <c r="H151" s="135">
        <v>210000</v>
      </c>
      <c r="I151" s="135">
        <v>3500</v>
      </c>
      <c r="J151" s="139"/>
      <c r="K151" s="208">
        <f>IF(I151=0,"None",I151/F151)</f>
        <v>140</v>
      </c>
      <c r="L151" s="210">
        <f>IF(I151=0,"None",I151/G151)</f>
        <v>269.2307692307692</v>
      </c>
      <c r="M151" s="210">
        <f>IF(I151=0,"None",I151/(F151+G151))</f>
        <v>92.10526315789474</v>
      </c>
      <c r="N151" s="210">
        <f>IF(H151="Loot",0,I151/H151)</f>
        <v>0.016666666666666666</v>
      </c>
      <c r="R151" s="42">
        <f t="shared" si="15"/>
        <v>40000.60448888854</v>
      </c>
      <c r="S151" s="149">
        <f t="shared" si="14"/>
        <v>1033323978</v>
      </c>
      <c r="T151" s="149"/>
      <c r="U151" s="36">
        <f t="shared" si="16"/>
        <v>147</v>
      </c>
      <c r="V151" s="9"/>
      <c r="W151" s="8">
        <f>E151*G151</f>
        <v>0</v>
      </c>
      <c r="X151" s="8">
        <f>E151*F151</f>
        <v>0</v>
      </c>
      <c r="Y151" s="105">
        <f>E151*I151</f>
        <v>0</v>
      </c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3"/>
      <c r="CG151" s="3"/>
      <c r="CH151" s="3"/>
      <c r="CI151" s="3"/>
      <c r="CJ151" s="3"/>
      <c r="CK151" s="3"/>
      <c r="CL151" s="3"/>
      <c r="CM151" s="3"/>
      <c r="CN151" s="3"/>
      <c r="CO151" s="3"/>
    </row>
    <row r="152" spans="2:93" ht="15" customHeight="1">
      <c r="B152" s="123"/>
      <c r="C152" s="124"/>
      <c r="D152" s="212"/>
      <c r="E152" s="214"/>
      <c r="F152" s="129"/>
      <c r="G152" s="131"/>
      <c r="H152" s="135"/>
      <c r="I152" s="135"/>
      <c r="J152" s="139"/>
      <c r="K152" s="209"/>
      <c r="L152" s="211"/>
      <c r="M152" s="211"/>
      <c r="N152" s="211"/>
      <c r="R152" s="42">
        <f t="shared" si="15"/>
        <v>40000.6461555552</v>
      </c>
      <c r="S152" s="149">
        <f t="shared" si="14"/>
        <v>1040301378</v>
      </c>
      <c r="T152" s="149"/>
      <c r="U152" s="36">
        <f t="shared" si="16"/>
        <v>148</v>
      </c>
      <c r="V152" s="9"/>
      <c r="W152" s="8"/>
      <c r="X152" s="8"/>
      <c r="Y152" s="105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3"/>
      <c r="CG152" s="3"/>
      <c r="CH152" s="3"/>
      <c r="CI152" s="3"/>
      <c r="CJ152" s="3"/>
      <c r="CK152" s="3"/>
      <c r="CL152" s="3"/>
      <c r="CM152" s="3"/>
      <c r="CN152" s="3"/>
      <c r="CO152" s="3"/>
    </row>
    <row r="153" spans="2:93" ht="15">
      <c r="B153" s="123" t="s">
        <v>112</v>
      </c>
      <c r="C153" s="124"/>
      <c r="D153" s="212"/>
      <c r="E153" s="214">
        <v>0</v>
      </c>
      <c r="F153" s="144">
        <v>50</v>
      </c>
      <c r="G153" s="145">
        <v>2</v>
      </c>
      <c r="H153" s="146">
        <v>400000</v>
      </c>
      <c r="I153" s="146">
        <v>6000</v>
      </c>
      <c r="J153" s="148">
        <v>17</v>
      </c>
      <c r="K153" s="219">
        <f>IF(I153=0,"None",I153/F153)</f>
        <v>120</v>
      </c>
      <c r="L153" s="221">
        <f>IF(I153=0,"None",I153/G153)</f>
        <v>3000</v>
      </c>
      <c r="M153" s="221">
        <f>IF(I153=0,"None",I153/(F153+G153))</f>
        <v>115.38461538461539</v>
      </c>
      <c r="N153" s="210">
        <f>IF(H153="Loot",0,I153/H153)</f>
        <v>0.015</v>
      </c>
      <c r="O153" s="94"/>
      <c r="P153" s="94"/>
      <c r="Q153" s="94"/>
      <c r="R153" s="42">
        <f t="shared" si="15"/>
        <v>40000.687822221866</v>
      </c>
      <c r="S153" s="149">
        <f t="shared" si="14"/>
        <v>1047278778</v>
      </c>
      <c r="T153" s="149"/>
      <c r="U153" s="36">
        <f t="shared" si="16"/>
        <v>149</v>
      </c>
      <c r="V153" s="9"/>
      <c r="W153" s="8">
        <f>E153*G153</f>
        <v>0</v>
      </c>
      <c r="X153" s="8">
        <f>E153*F153</f>
        <v>0</v>
      </c>
      <c r="Y153" s="105">
        <f>E153*I153</f>
        <v>0</v>
      </c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3"/>
      <c r="CG153" s="3"/>
      <c r="CH153" s="3"/>
      <c r="CI153" s="3"/>
      <c r="CJ153" s="3"/>
      <c r="CK153" s="3"/>
      <c r="CL153" s="3"/>
      <c r="CM153" s="3"/>
      <c r="CN153" s="3"/>
      <c r="CO153" s="3"/>
    </row>
    <row r="154" spans="2:93" ht="15">
      <c r="B154" s="123"/>
      <c r="C154" s="124"/>
      <c r="D154" s="212"/>
      <c r="E154" s="214"/>
      <c r="F154" s="144"/>
      <c r="G154" s="145"/>
      <c r="H154" s="146"/>
      <c r="I154" s="146"/>
      <c r="J154" s="148"/>
      <c r="K154" s="220"/>
      <c r="L154" s="222"/>
      <c r="M154" s="222"/>
      <c r="N154" s="211"/>
      <c r="R154" s="42">
        <f t="shared" si="15"/>
        <v>40000.72948888853</v>
      </c>
      <c r="S154" s="149">
        <f t="shared" si="14"/>
        <v>1054256178</v>
      </c>
      <c r="T154" s="149"/>
      <c r="U154" s="36">
        <f t="shared" si="16"/>
        <v>150</v>
      </c>
      <c r="V154" s="9"/>
      <c r="W154" s="8"/>
      <c r="X154" s="8"/>
      <c r="Y154" s="105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2:93" ht="15">
      <c r="B155" s="123" t="s">
        <v>145</v>
      </c>
      <c r="C155" s="124"/>
      <c r="D155" s="212"/>
      <c r="E155" s="214">
        <v>0</v>
      </c>
      <c r="F155" s="129">
        <v>50</v>
      </c>
      <c r="G155" s="131">
        <v>15</v>
      </c>
      <c r="H155" s="135">
        <v>650000</v>
      </c>
      <c r="I155" s="135">
        <v>10000</v>
      </c>
      <c r="J155" s="139">
        <v>21</v>
      </c>
      <c r="K155" s="208">
        <f>IF(I155=0,"None",I155/F155)</f>
        <v>200</v>
      </c>
      <c r="L155" s="210">
        <f>IF(I155=0,"None",I155/G155)</f>
        <v>666.6666666666666</v>
      </c>
      <c r="M155" s="210">
        <f>IF(I155=0,"None",I155/(F155+G155))</f>
        <v>153.84615384615384</v>
      </c>
      <c r="N155" s="210">
        <f>IF(H155="Loot",0,I155/H155)</f>
        <v>0.015384615384615385</v>
      </c>
      <c r="R155" s="42">
        <f t="shared" si="15"/>
        <v>40000.771155555194</v>
      </c>
      <c r="S155" s="149">
        <f t="shared" si="14"/>
        <v>1061233578</v>
      </c>
      <c r="T155" s="149"/>
      <c r="U155" s="36">
        <f t="shared" si="16"/>
        <v>151</v>
      </c>
      <c r="V155" s="9"/>
      <c r="W155" s="8">
        <f>E155*G155</f>
        <v>0</v>
      </c>
      <c r="X155" s="8">
        <f>E155*F155</f>
        <v>0</v>
      </c>
      <c r="Y155" s="105">
        <f>E155*I155</f>
        <v>0</v>
      </c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2:93" ht="15">
      <c r="B156" s="123"/>
      <c r="C156" s="124"/>
      <c r="D156" s="212"/>
      <c r="E156" s="214"/>
      <c r="F156" s="129"/>
      <c r="G156" s="131"/>
      <c r="H156" s="135"/>
      <c r="I156" s="135"/>
      <c r="J156" s="139"/>
      <c r="K156" s="224"/>
      <c r="L156" s="211"/>
      <c r="M156" s="211"/>
      <c r="N156" s="211"/>
      <c r="R156" s="42">
        <f t="shared" si="15"/>
        <v>40000.81282222186</v>
      </c>
      <c r="S156" s="149">
        <f t="shared" si="14"/>
        <v>1068210978</v>
      </c>
      <c r="T156" s="149"/>
      <c r="U156" s="36">
        <f t="shared" si="16"/>
        <v>152</v>
      </c>
      <c r="V156" s="9"/>
      <c r="W156" s="8"/>
      <c r="X156" s="8"/>
      <c r="Y156" s="105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2:93" ht="15">
      <c r="B157" s="123" t="s">
        <v>118</v>
      </c>
      <c r="C157" s="124"/>
      <c r="D157" s="212"/>
      <c r="E157" s="214">
        <v>0</v>
      </c>
      <c r="F157" s="144">
        <v>52</v>
      </c>
      <c r="G157" s="145">
        <v>30</v>
      </c>
      <c r="H157" s="146">
        <v>1000000</v>
      </c>
      <c r="I157" s="146">
        <v>14000</v>
      </c>
      <c r="J157" s="148">
        <v>28</v>
      </c>
      <c r="K157" s="219">
        <f>IF(I157=0,"None",I157/F157)</f>
        <v>269.2307692307692</v>
      </c>
      <c r="L157" s="221">
        <f>IF(I157=0,"None",I157/G157)</f>
        <v>466.6666666666667</v>
      </c>
      <c r="M157" s="221">
        <f>IF(I157=0,"None",I157/(F157+G157))</f>
        <v>170.73170731707316</v>
      </c>
      <c r="N157" s="210">
        <f>IF(H157="Loot",0,I157/H157)</f>
        <v>0.014</v>
      </c>
      <c r="R157" s="42">
        <f t="shared" si="15"/>
        <v>40000.85448888852</v>
      </c>
      <c r="S157" s="149">
        <f t="shared" si="14"/>
        <v>1075188378</v>
      </c>
      <c r="T157" s="149"/>
      <c r="U157" s="36">
        <f t="shared" si="16"/>
        <v>153</v>
      </c>
      <c r="V157" s="9"/>
      <c r="W157" s="8">
        <f>E157*G157</f>
        <v>0</v>
      </c>
      <c r="X157" s="8">
        <f>E157*F157</f>
        <v>0</v>
      </c>
      <c r="Y157" s="105">
        <f>E157*I157</f>
        <v>0</v>
      </c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2:93" ht="15">
      <c r="B158" s="123"/>
      <c r="C158" s="124"/>
      <c r="D158" s="212"/>
      <c r="E158" s="214"/>
      <c r="F158" s="144"/>
      <c r="G158" s="145"/>
      <c r="H158" s="146"/>
      <c r="I158" s="146"/>
      <c r="J158" s="148"/>
      <c r="K158" s="220"/>
      <c r="L158" s="222"/>
      <c r="M158" s="222"/>
      <c r="N158" s="211"/>
      <c r="R158" s="42">
        <f t="shared" si="15"/>
        <v>40000.89615555519</v>
      </c>
      <c r="S158" s="149">
        <f t="shared" si="14"/>
        <v>1082165778</v>
      </c>
      <c r="T158" s="149"/>
      <c r="U158" s="36">
        <f t="shared" si="16"/>
        <v>154</v>
      </c>
      <c r="V158" s="9"/>
      <c r="W158" s="8"/>
      <c r="X158" s="8"/>
      <c r="Y158" s="105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3"/>
      <c r="CG158" s="3"/>
      <c r="CH158" s="3"/>
      <c r="CI158" s="3"/>
      <c r="CJ158" s="3"/>
      <c r="CK158" s="3"/>
      <c r="CL158" s="3"/>
      <c r="CM158" s="3"/>
      <c r="CN158" s="3"/>
      <c r="CO158" s="3"/>
    </row>
    <row r="159" spans="2:93" ht="15">
      <c r="B159" s="123" t="s">
        <v>117</v>
      </c>
      <c r="C159" s="124"/>
      <c r="D159" s="212"/>
      <c r="E159" s="214">
        <v>0</v>
      </c>
      <c r="F159" s="129">
        <v>110</v>
      </c>
      <c r="G159" s="131">
        <v>5</v>
      </c>
      <c r="H159" s="135">
        <v>1650000</v>
      </c>
      <c r="I159" s="135">
        <v>22000</v>
      </c>
      <c r="J159" s="139"/>
      <c r="K159" s="208">
        <f>IF(I159=0,"None",I159/F159)</f>
        <v>200</v>
      </c>
      <c r="L159" s="210">
        <f>IF(I159=0,"None",I159/G159)</f>
        <v>4400</v>
      </c>
      <c r="M159" s="210">
        <f>IF(I159=0,"None",I159/(F159+G159))</f>
        <v>191.30434782608697</v>
      </c>
      <c r="N159" s="210">
        <f>IF(H159="Loot",0,I159/H159)</f>
        <v>0.013333333333333334</v>
      </c>
      <c r="R159" s="42">
        <f t="shared" si="15"/>
        <v>40000.93782222185</v>
      </c>
      <c r="S159" s="149">
        <f t="shared" si="14"/>
        <v>1089143178</v>
      </c>
      <c r="T159" s="149"/>
      <c r="U159" s="36">
        <f t="shared" si="16"/>
        <v>155</v>
      </c>
      <c r="V159" s="9"/>
      <c r="W159" s="8">
        <f>E159*G159</f>
        <v>0</v>
      </c>
      <c r="X159" s="8">
        <f>E159*F159</f>
        <v>0</v>
      </c>
      <c r="Y159" s="105">
        <f>E159*I159</f>
        <v>0</v>
      </c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3"/>
      <c r="CG159" s="3"/>
      <c r="CH159" s="3"/>
      <c r="CI159" s="3"/>
      <c r="CJ159" s="3"/>
      <c r="CK159" s="3"/>
      <c r="CL159" s="3"/>
      <c r="CM159" s="3"/>
      <c r="CN159" s="3"/>
      <c r="CO159" s="3"/>
    </row>
    <row r="160" spans="2:93" ht="15">
      <c r="B160" s="123"/>
      <c r="C160" s="124"/>
      <c r="D160" s="212"/>
      <c r="E160" s="214"/>
      <c r="F160" s="129"/>
      <c r="G160" s="131"/>
      <c r="H160" s="135"/>
      <c r="I160" s="135"/>
      <c r="J160" s="139"/>
      <c r="K160" s="209"/>
      <c r="L160" s="211"/>
      <c r="M160" s="211"/>
      <c r="N160" s="211"/>
      <c r="R160" s="42">
        <f t="shared" si="15"/>
        <v>40000.979488888515</v>
      </c>
      <c r="S160" s="149">
        <f t="shared" si="14"/>
        <v>1096120578</v>
      </c>
      <c r="T160" s="149"/>
      <c r="U160" s="36">
        <f t="shared" si="16"/>
        <v>156</v>
      </c>
      <c r="V160" s="9"/>
      <c r="W160" s="8"/>
      <c r="X160" s="8"/>
      <c r="Y160" s="105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2:93" ht="15">
      <c r="B161" s="123" t="s">
        <v>116</v>
      </c>
      <c r="C161" s="124"/>
      <c r="D161" s="212"/>
      <c r="E161" s="214">
        <v>0</v>
      </c>
      <c r="F161" s="144">
        <v>17</v>
      </c>
      <c r="G161" s="145">
        <v>4</v>
      </c>
      <c r="H161" s="223" t="s">
        <v>41</v>
      </c>
      <c r="I161" s="146">
        <v>0</v>
      </c>
      <c r="J161" s="148"/>
      <c r="K161" s="219" t="str">
        <f>IF(I161=0,"None",I161/F161)</f>
        <v>None</v>
      </c>
      <c r="L161" s="221" t="str">
        <f>IF(I161=0,"None",I161/G161)</f>
        <v>None</v>
      </c>
      <c r="M161" s="221" t="str">
        <f>IF(I161=0,"None",I161/(F161+G161))</f>
        <v>None</v>
      </c>
      <c r="N161" s="210">
        <f>IF(H161="Loot",0,I161/H161)</f>
        <v>0</v>
      </c>
      <c r="R161" s="42">
        <f t="shared" si="15"/>
        <v>40001.02115555518</v>
      </c>
      <c r="S161" s="149">
        <f t="shared" si="14"/>
        <v>1103097978</v>
      </c>
      <c r="T161" s="149"/>
      <c r="U161" s="36">
        <f t="shared" si="16"/>
        <v>157</v>
      </c>
      <c r="V161" s="9"/>
      <c r="W161" s="8">
        <f>E161*G161</f>
        <v>0</v>
      </c>
      <c r="X161" s="8">
        <f>E161*F161</f>
        <v>0</v>
      </c>
      <c r="Y161" s="105">
        <f>E161*I161</f>
        <v>0</v>
      </c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3"/>
      <c r="CG161" s="3"/>
      <c r="CH161" s="3"/>
      <c r="CI161" s="3"/>
      <c r="CJ161" s="3"/>
      <c r="CK161" s="3"/>
      <c r="CL161" s="3"/>
      <c r="CM161" s="3"/>
      <c r="CN161" s="3"/>
      <c r="CO161" s="3"/>
    </row>
    <row r="162" spans="2:93" ht="15">
      <c r="B162" s="123"/>
      <c r="C162" s="124"/>
      <c r="D162" s="212"/>
      <c r="E162" s="214"/>
      <c r="F162" s="144"/>
      <c r="G162" s="145"/>
      <c r="H162" s="223"/>
      <c r="I162" s="146"/>
      <c r="J162" s="148"/>
      <c r="K162" s="220"/>
      <c r="L162" s="222"/>
      <c r="M162" s="222"/>
      <c r="N162" s="211"/>
      <c r="R162" s="42">
        <f t="shared" si="15"/>
        <v>40001.062822221844</v>
      </c>
      <c r="S162" s="149">
        <f t="shared" si="14"/>
        <v>1110075378</v>
      </c>
      <c r="T162" s="149"/>
      <c r="U162" s="36">
        <f t="shared" si="16"/>
        <v>158</v>
      </c>
      <c r="V162" s="9"/>
      <c r="W162" s="8"/>
      <c r="X162" s="8"/>
      <c r="Y162" s="105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3"/>
      <c r="CG162" s="3"/>
      <c r="CH162" s="3"/>
      <c r="CI162" s="3"/>
      <c r="CJ162" s="3"/>
      <c r="CK162" s="3"/>
      <c r="CL162" s="3"/>
      <c r="CM162" s="3"/>
      <c r="CN162" s="3"/>
      <c r="CO162" s="3"/>
    </row>
    <row r="163" spans="2:93" ht="15">
      <c r="B163" s="123" t="s">
        <v>115</v>
      </c>
      <c r="C163" s="124"/>
      <c r="D163" s="212"/>
      <c r="E163" s="214">
        <v>1</v>
      </c>
      <c r="F163" s="129">
        <v>15</v>
      </c>
      <c r="G163" s="131">
        <v>4</v>
      </c>
      <c r="H163" s="216" t="s">
        <v>41</v>
      </c>
      <c r="I163" s="135">
        <v>0</v>
      </c>
      <c r="J163" s="139" t="s">
        <v>172</v>
      </c>
      <c r="K163" s="208" t="str">
        <f>IF(I163=0,"None",I163/F163)</f>
        <v>None</v>
      </c>
      <c r="L163" s="210" t="str">
        <f>IF(I163=0,"None",I163/G163)</f>
        <v>None</v>
      </c>
      <c r="M163" s="210" t="str">
        <f>IF(I163=0,"None",I163/(F163+G163))</f>
        <v>None</v>
      </c>
      <c r="N163" s="210">
        <f>IF(H163="Loot",0,I163/H163)</f>
        <v>0</v>
      </c>
      <c r="R163" s="42">
        <f t="shared" si="15"/>
        <v>40001.10448888851</v>
      </c>
      <c r="S163" s="149">
        <f t="shared" si="14"/>
        <v>1117052778</v>
      </c>
      <c r="T163" s="149"/>
      <c r="U163" s="36">
        <f t="shared" si="16"/>
        <v>159</v>
      </c>
      <c r="V163" s="9"/>
      <c r="W163" s="8">
        <f>E163*G163</f>
        <v>4</v>
      </c>
      <c r="X163" s="8">
        <f>E163*F163</f>
        <v>15</v>
      </c>
      <c r="Y163" s="105">
        <f>E163*I163</f>
        <v>0</v>
      </c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3"/>
      <c r="CG163" s="3"/>
      <c r="CH163" s="3"/>
      <c r="CI163" s="3"/>
      <c r="CJ163" s="3"/>
      <c r="CK163" s="3"/>
      <c r="CL163" s="3"/>
      <c r="CM163" s="3"/>
      <c r="CN163" s="3"/>
      <c r="CO163" s="3"/>
    </row>
    <row r="164" spans="2:93" ht="15">
      <c r="B164" s="123"/>
      <c r="C164" s="124"/>
      <c r="D164" s="212"/>
      <c r="E164" s="214"/>
      <c r="F164" s="129"/>
      <c r="G164" s="131"/>
      <c r="H164" s="216"/>
      <c r="I164" s="135"/>
      <c r="J164" s="139"/>
      <c r="K164" s="209"/>
      <c r="L164" s="211"/>
      <c r="M164" s="211"/>
      <c r="N164" s="211"/>
      <c r="R164" s="42">
        <f t="shared" si="15"/>
        <v>40001.14615555517</v>
      </c>
      <c r="S164" s="149">
        <f t="shared" si="14"/>
        <v>1124030178</v>
      </c>
      <c r="T164" s="149"/>
      <c r="U164" s="36">
        <f t="shared" si="16"/>
        <v>160</v>
      </c>
      <c r="V164" s="9"/>
      <c r="W164" s="8"/>
      <c r="X164" s="8"/>
      <c r="Y164" s="105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3"/>
      <c r="CG164" s="3"/>
      <c r="CH164" s="3"/>
      <c r="CI164" s="3"/>
      <c r="CJ164" s="3"/>
      <c r="CK164" s="3"/>
      <c r="CL164" s="3"/>
      <c r="CM164" s="3"/>
      <c r="CN164" s="3"/>
      <c r="CO164" s="3"/>
    </row>
    <row r="165" spans="2:93" ht="15.75" customHeight="1">
      <c r="B165" s="123" t="s">
        <v>113</v>
      </c>
      <c r="C165" s="124"/>
      <c r="D165" s="212"/>
      <c r="E165" s="214">
        <v>1</v>
      </c>
      <c r="F165" s="144">
        <v>11</v>
      </c>
      <c r="G165" s="145">
        <v>9</v>
      </c>
      <c r="H165" s="223" t="s">
        <v>41</v>
      </c>
      <c r="I165" s="146">
        <v>0</v>
      </c>
      <c r="J165" s="218" t="s">
        <v>172</v>
      </c>
      <c r="K165" s="219" t="str">
        <f>IF(I165=0,"None",I165/F165)</f>
        <v>None</v>
      </c>
      <c r="L165" s="221" t="str">
        <f>IF(I165=0,"None",I165/G165)</f>
        <v>None</v>
      </c>
      <c r="M165" s="221" t="str">
        <f>IF(I165=0,"None",I165/(F165+G165))</f>
        <v>None</v>
      </c>
      <c r="N165" s="210">
        <f>IF(H165="Loot",0,I165/H165)</f>
        <v>0</v>
      </c>
      <c r="R165" s="42">
        <f t="shared" si="15"/>
        <v>40001.18782222184</v>
      </c>
      <c r="S165" s="149">
        <f>S164+$P$19</f>
        <v>1131007578</v>
      </c>
      <c r="T165" s="149"/>
      <c r="U165" s="36">
        <f t="shared" si="16"/>
        <v>161</v>
      </c>
      <c r="V165" s="9"/>
      <c r="W165" s="8">
        <f>E165*G165</f>
        <v>9</v>
      </c>
      <c r="X165" s="8">
        <f>E165*F165</f>
        <v>11</v>
      </c>
      <c r="Y165" s="105">
        <f>E165*I165</f>
        <v>0</v>
      </c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3"/>
      <c r="CG165" s="3"/>
      <c r="CH165" s="3"/>
      <c r="CI165" s="3"/>
      <c r="CJ165" s="3"/>
      <c r="CK165" s="3"/>
      <c r="CL165" s="3"/>
      <c r="CM165" s="3"/>
      <c r="CN165" s="3"/>
      <c r="CO165" s="3"/>
    </row>
    <row r="166" spans="2:93" ht="15.75" customHeight="1">
      <c r="B166" s="123"/>
      <c r="C166" s="124"/>
      <c r="D166" s="212"/>
      <c r="E166" s="214"/>
      <c r="F166" s="144"/>
      <c r="G166" s="145"/>
      <c r="H166" s="223"/>
      <c r="I166" s="146"/>
      <c r="J166" s="218"/>
      <c r="K166" s="220"/>
      <c r="L166" s="222"/>
      <c r="M166" s="222"/>
      <c r="N166" s="211"/>
      <c r="R166" s="42">
        <f t="shared" si="15"/>
        <v>40001.2294888885</v>
      </c>
      <c r="S166" s="149">
        <f>S165+$P$19</f>
        <v>1137984978</v>
      </c>
      <c r="T166" s="149"/>
      <c r="U166" s="36">
        <f t="shared" si="16"/>
        <v>162</v>
      </c>
      <c r="V166" s="9"/>
      <c r="W166" s="8"/>
      <c r="X166" s="8"/>
      <c r="Y166" s="8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3"/>
      <c r="CG166" s="3"/>
      <c r="CH166" s="3"/>
      <c r="CI166" s="3"/>
      <c r="CJ166" s="3"/>
      <c r="CK166" s="3"/>
      <c r="CL166" s="3"/>
      <c r="CM166" s="3"/>
      <c r="CN166" s="3"/>
      <c r="CO166" s="3"/>
    </row>
    <row r="167" spans="2:93" ht="15" customHeight="1">
      <c r="B167" s="123" t="s">
        <v>136</v>
      </c>
      <c r="C167" s="124"/>
      <c r="D167" s="212"/>
      <c r="E167" s="214">
        <v>0</v>
      </c>
      <c r="F167" s="129">
        <v>45</v>
      </c>
      <c r="G167" s="131">
        <v>14</v>
      </c>
      <c r="H167" s="216" t="s">
        <v>41</v>
      </c>
      <c r="I167" s="135">
        <v>8000</v>
      </c>
      <c r="J167" s="139"/>
      <c r="K167" s="208">
        <f>IF(I167=0,"None",I167/F167)</f>
        <v>177.77777777777777</v>
      </c>
      <c r="L167" s="210">
        <f>IF(I167=0,"None",I167/G167)</f>
        <v>571.4285714285714</v>
      </c>
      <c r="M167" s="210">
        <f>IF(I167=0,"None",I167/(F167+G167))</f>
        <v>135.59322033898306</v>
      </c>
      <c r="N167" s="210">
        <f>IF(H167="Loot",0,I167/H167)</f>
        <v>0</v>
      </c>
      <c r="R167" s="42">
        <f t="shared" si="15"/>
        <v>40001.271155555165</v>
      </c>
      <c r="S167" s="149">
        <f>S166+$P$19</f>
        <v>1144962378</v>
      </c>
      <c r="T167" s="149"/>
      <c r="U167" s="36">
        <f t="shared" si="16"/>
        <v>163</v>
      </c>
      <c r="V167" s="9"/>
      <c r="W167" s="8"/>
      <c r="X167" s="8"/>
      <c r="Y167" s="8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3"/>
      <c r="CG167" s="3"/>
      <c r="CH167" s="3"/>
      <c r="CI167" s="3"/>
      <c r="CJ167" s="3"/>
      <c r="CK167" s="3"/>
      <c r="CL167" s="3"/>
      <c r="CM167" s="3"/>
      <c r="CN167" s="3"/>
      <c r="CO167" s="3"/>
    </row>
    <row r="168" spans="2:93" ht="15" customHeight="1">
      <c r="B168" s="126"/>
      <c r="C168" s="127"/>
      <c r="D168" s="213"/>
      <c r="E168" s="215"/>
      <c r="F168" s="130"/>
      <c r="G168" s="132"/>
      <c r="H168" s="217"/>
      <c r="I168" s="136"/>
      <c r="J168" s="140"/>
      <c r="K168" s="209"/>
      <c r="L168" s="211"/>
      <c r="M168" s="211"/>
      <c r="N168" s="211"/>
      <c r="R168" s="42">
        <f t="shared" si="15"/>
        <v>40001.31282222183</v>
      </c>
      <c r="S168" s="149">
        <f>S167+$P$19</f>
        <v>1151939778</v>
      </c>
      <c r="T168" s="149"/>
      <c r="U168" s="36">
        <f t="shared" si="16"/>
        <v>164</v>
      </c>
      <c r="V168" s="9"/>
      <c r="W168" s="8"/>
      <c r="X168" s="8"/>
      <c r="Y168" s="8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7:93" ht="15" customHeight="1">
      <c r="Q169" s="69"/>
      <c r="R169" s="42">
        <f t="shared" si="15"/>
        <v>40001.35448888849</v>
      </c>
      <c r="S169" s="149">
        <f aca="true" t="shared" si="17" ref="S169:S225">S168+$P$19</f>
        <v>1158917178</v>
      </c>
      <c r="T169" s="149"/>
      <c r="U169" s="36">
        <f t="shared" si="16"/>
        <v>165</v>
      </c>
      <c r="V169" s="69"/>
      <c r="W169" s="8"/>
      <c r="X169" s="8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2:93" ht="15" customHeight="1">
      <c r="B170" s="205" t="s">
        <v>44</v>
      </c>
      <c r="C170" s="206"/>
      <c r="D170" s="207"/>
      <c r="Q170" s="69"/>
      <c r="R170" s="42">
        <f t="shared" si="15"/>
        <v>40001.39615555516</v>
      </c>
      <c r="S170" s="149">
        <f t="shared" si="17"/>
        <v>1165894578</v>
      </c>
      <c r="T170" s="149"/>
      <c r="U170" s="36">
        <f t="shared" si="16"/>
        <v>166</v>
      </c>
      <c r="V170" s="69"/>
      <c r="W170" s="8"/>
      <c r="X170" s="8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2:93" ht="15" customHeight="1">
      <c r="B171" s="185" t="s">
        <v>224</v>
      </c>
      <c r="C171" s="202">
        <f>P143+P117+P89+P53</f>
        <v>3337</v>
      </c>
      <c r="D171" s="203"/>
      <c r="E171" s="185" t="s">
        <v>50</v>
      </c>
      <c r="F171" s="202">
        <f>5*C9</f>
        <v>175</v>
      </c>
      <c r="G171" s="203"/>
      <c r="H171" s="185" t="s">
        <v>35</v>
      </c>
      <c r="I171" s="202">
        <f>P147+P121+P93+P57</f>
        <v>10399</v>
      </c>
      <c r="J171" s="204"/>
      <c r="K171" s="89" t="s">
        <v>140</v>
      </c>
      <c r="L171" s="181">
        <f>F13/(P19+F13)</f>
        <v>0</v>
      </c>
      <c r="M171" s="182"/>
      <c r="N171" s="185" t="s">
        <v>46</v>
      </c>
      <c r="O171" s="187" t="str">
        <f>IF(C171&gt;$C$10*3,C171-$C$10*3&amp;" too many units",$C$10*3-C171)</f>
        <v>1162 too many units</v>
      </c>
      <c r="P171" s="188"/>
      <c r="Q171" s="69"/>
      <c r="R171" s="42">
        <f t="shared" si="15"/>
        <v>40001.43782222182</v>
      </c>
      <c r="S171" s="149">
        <f t="shared" si="17"/>
        <v>1172871978</v>
      </c>
      <c r="T171" s="149"/>
      <c r="U171" s="36">
        <f t="shared" si="16"/>
        <v>167</v>
      </c>
      <c r="V171" s="69"/>
      <c r="W171" s="8"/>
      <c r="X171" s="8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2:93" ht="15" customHeight="1">
      <c r="B172" s="191"/>
      <c r="C172" s="196"/>
      <c r="D172" s="197"/>
      <c r="E172" s="191"/>
      <c r="F172" s="196"/>
      <c r="G172" s="197"/>
      <c r="H172" s="191"/>
      <c r="I172" s="196"/>
      <c r="J172" s="200"/>
      <c r="K172" s="91" t="s">
        <v>14</v>
      </c>
      <c r="L172" s="183"/>
      <c r="M172" s="184"/>
      <c r="N172" s="186"/>
      <c r="O172" s="189"/>
      <c r="P172" s="190"/>
      <c r="Q172" s="69"/>
      <c r="R172" s="42">
        <f t="shared" si="15"/>
        <v>40001.479488888486</v>
      </c>
      <c r="S172" s="149">
        <f t="shared" si="17"/>
        <v>1179849378</v>
      </c>
      <c r="T172" s="149"/>
      <c r="U172" s="36">
        <f t="shared" si="16"/>
        <v>168</v>
      </c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2:93" ht="15" customHeight="1">
      <c r="B173" s="191" t="s">
        <v>37</v>
      </c>
      <c r="C173" s="192">
        <f>P145+P119+P91+P55</f>
        <v>1819100</v>
      </c>
      <c r="D173" s="193"/>
      <c r="E173" s="90" t="s">
        <v>51</v>
      </c>
      <c r="F173" s="196">
        <f>F171-C10</f>
        <v>-550</v>
      </c>
      <c r="G173" s="197"/>
      <c r="H173" s="191" t="s">
        <v>36</v>
      </c>
      <c r="I173" s="196">
        <f>P149+P123+P95+P59</f>
        <v>21686</v>
      </c>
      <c r="J173" s="200"/>
      <c r="K173" s="164" t="s">
        <v>221</v>
      </c>
      <c r="L173" s="165"/>
      <c r="M173" s="166"/>
      <c r="Q173" s="69"/>
      <c r="R173" s="42">
        <f t="shared" si="15"/>
        <v>40001.52115555515</v>
      </c>
      <c r="S173" s="149">
        <f t="shared" si="17"/>
        <v>1186826778</v>
      </c>
      <c r="T173" s="149"/>
      <c r="U173" s="36">
        <f t="shared" si="16"/>
        <v>169</v>
      </c>
      <c r="V173" s="83" t="str">
        <f>IF($C$13=60,"1 Week","")</f>
        <v>1 Week</v>
      </c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2:93" ht="15" customHeight="1">
      <c r="B174" s="186"/>
      <c r="C174" s="194"/>
      <c r="D174" s="195"/>
      <c r="E174" s="91" t="s">
        <v>52</v>
      </c>
      <c r="F174" s="198"/>
      <c r="G174" s="199"/>
      <c r="H174" s="186"/>
      <c r="I174" s="198"/>
      <c r="J174" s="201"/>
      <c r="K174" s="167" t="s">
        <v>222</v>
      </c>
      <c r="L174" s="168"/>
      <c r="M174" s="169"/>
      <c r="R174" s="42">
        <f t="shared" si="15"/>
        <v>40001.562822221815</v>
      </c>
      <c r="S174" s="149">
        <f t="shared" si="17"/>
        <v>1193804178</v>
      </c>
      <c r="T174" s="149"/>
      <c r="U174" s="36">
        <f t="shared" si="16"/>
        <v>170</v>
      </c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8:93" ht="15" customHeight="1" thickBot="1">
      <c r="R175" s="42">
        <f t="shared" si="15"/>
        <v>40001.60448888848</v>
      </c>
      <c r="S175" s="149">
        <f t="shared" si="17"/>
        <v>1200781578</v>
      </c>
      <c r="T175" s="149"/>
      <c r="U175" s="36">
        <f t="shared" si="16"/>
        <v>171</v>
      </c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2:93" ht="15" customHeight="1" thickTop="1">
      <c r="B176" s="170" t="s">
        <v>173</v>
      </c>
      <c r="C176" s="171"/>
      <c r="G176" s="106" t="s">
        <v>199</v>
      </c>
      <c r="H176" s="107"/>
      <c r="I176" s="107"/>
      <c r="J176" s="107"/>
      <c r="K176" s="108"/>
      <c r="L176" s="73" t="s">
        <v>200</v>
      </c>
      <c r="M176" s="1"/>
      <c r="N176" s="1"/>
      <c r="R176" s="42">
        <f t="shared" si="15"/>
        <v>40001.64615555514</v>
      </c>
      <c r="S176" s="149">
        <f t="shared" si="17"/>
        <v>1207758978</v>
      </c>
      <c r="T176" s="149"/>
      <c r="U176" s="36">
        <f t="shared" si="16"/>
        <v>172</v>
      </c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3"/>
      <c r="CG176" s="3"/>
      <c r="CH176" s="3"/>
      <c r="CI176" s="3"/>
      <c r="CJ176" s="3"/>
      <c r="CK176" s="3"/>
      <c r="CL176" s="3"/>
      <c r="CM176" s="3"/>
      <c r="CN176" s="3"/>
      <c r="CO176" s="3"/>
    </row>
    <row r="177" spans="2:93" ht="15.75" customHeight="1" thickBot="1">
      <c r="B177" s="172"/>
      <c r="C177" s="173"/>
      <c r="D177" s="47"/>
      <c r="E177" s="47"/>
      <c r="G177" s="174" t="s">
        <v>206</v>
      </c>
      <c r="H177" s="175"/>
      <c r="I177" s="176" t="s">
        <v>178</v>
      </c>
      <c r="J177" s="177"/>
      <c r="K177" s="177"/>
      <c r="L177" s="177"/>
      <c r="M177" s="178"/>
      <c r="N177" s="179" t="s">
        <v>202</v>
      </c>
      <c r="O177" s="180"/>
      <c r="R177" s="42">
        <f t="shared" si="15"/>
        <v>40001.68782222181</v>
      </c>
      <c r="S177" s="149">
        <f t="shared" si="17"/>
        <v>1214736378</v>
      </c>
      <c r="T177" s="149"/>
      <c r="U177" s="36">
        <f t="shared" si="16"/>
        <v>173</v>
      </c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3"/>
      <c r="CG177" s="3"/>
      <c r="CH177" s="3"/>
      <c r="CI177" s="3"/>
      <c r="CJ177" s="3"/>
      <c r="CK177" s="3"/>
      <c r="CL177" s="3"/>
      <c r="CM177" s="3"/>
      <c r="CN177" s="3"/>
      <c r="CO177" s="3"/>
    </row>
    <row r="178" spans="2:93" ht="15.75" customHeight="1" thickTop="1">
      <c r="B178" s="155" t="s">
        <v>174</v>
      </c>
      <c r="C178" s="156"/>
      <c r="D178" s="156"/>
      <c r="E178" s="157"/>
      <c r="F178" s="109" t="s">
        <v>171</v>
      </c>
      <c r="G178" s="78" t="s">
        <v>176</v>
      </c>
      <c r="H178" s="78" t="s">
        <v>177</v>
      </c>
      <c r="I178" s="78" t="s">
        <v>179</v>
      </c>
      <c r="J178" s="78" t="s">
        <v>175</v>
      </c>
      <c r="K178" s="158" t="s">
        <v>41</v>
      </c>
      <c r="L178" s="158"/>
      <c r="M178" s="158"/>
      <c r="N178" s="110" t="s">
        <v>175</v>
      </c>
      <c r="O178" s="111" t="s">
        <v>33</v>
      </c>
      <c r="R178" s="42">
        <f t="shared" si="15"/>
        <v>40001.72948888847</v>
      </c>
      <c r="S178" s="149">
        <f t="shared" si="17"/>
        <v>1221713778</v>
      </c>
      <c r="T178" s="149"/>
      <c r="U178" s="36">
        <f t="shared" si="16"/>
        <v>174</v>
      </c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2:93" ht="15.75" customHeight="1">
      <c r="B179" s="123" t="s">
        <v>207</v>
      </c>
      <c r="C179" s="124"/>
      <c r="D179" s="124"/>
      <c r="E179" s="125"/>
      <c r="F179" s="151">
        <v>1</v>
      </c>
      <c r="G179" s="151">
        <v>9</v>
      </c>
      <c r="H179" s="152">
        <v>0</v>
      </c>
      <c r="I179" s="153">
        <v>1500</v>
      </c>
      <c r="J179" s="154">
        <v>1</v>
      </c>
      <c r="K179" s="131" t="s">
        <v>90</v>
      </c>
      <c r="L179" s="131"/>
      <c r="M179" s="139"/>
      <c r="N179" s="141">
        <f>IF($L$176="ON",IF(AND(G179&lt;=$C$12,F179&lt;=$C$9,H179&lt;=$C$10),G179/J179,"Restrict"),G179/J179)</f>
        <v>9</v>
      </c>
      <c r="O179" s="133">
        <f>IF($L$176="ON",IF(AND(G179&lt;=$C$12,F179&lt;=$C$9,H179&lt;=$C$10),I179/G179,"Restrict"),I179/G179)</f>
        <v>166.66666666666666</v>
      </c>
      <c r="R179" s="42">
        <f t="shared" si="15"/>
        <v>40001.771155555136</v>
      </c>
      <c r="S179" s="149">
        <f t="shared" si="17"/>
        <v>1228691178</v>
      </c>
      <c r="T179" s="149"/>
      <c r="U179" s="36">
        <f t="shared" si="16"/>
        <v>175</v>
      </c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3"/>
      <c r="CG179" s="3"/>
      <c r="CH179" s="3"/>
      <c r="CI179" s="3"/>
      <c r="CJ179" s="3"/>
      <c r="CK179" s="3"/>
      <c r="CL179" s="3"/>
      <c r="CM179" s="3"/>
      <c r="CN179" s="3"/>
      <c r="CO179" s="3"/>
    </row>
    <row r="180" spans="2:93" ht="15">
      <c r="B180" s="123"/>
      <c r="C180" s="124"/>
      <c r="D180" s="124"/>
      <c r="E180" s="125"/>
      <c r="F180" s="129"/>
      <c r="G180" s="129"/>
      <c r="H180" s="131"/>
      <c r="I180" s="135"/>
      <c r="J180" s="137"/>
      <c r="K180" s="131"/>
      <c r="L180" s="131"/>
      <c r="M180" s="139"/>
      <c r="N180" s="142"/>
      <c r="O180" s="143"/>
      <c r="Q180" s="69"/>
      <c r="R180" s="42">
        <f t="shared" si="15"/>
        <v>40001.8128222218</v>
      </c>
      <c r="S180" s="149">
        <f t="shared" si="17"/>
        <v>1235668578</v>
      </c>
      <c r="T180" s="149"/>
      <c r="U180" s="36">
        <f t="shared" si="16"/>
        <v>176</v>
      </c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2:93" ht="15">
      <c r="B181" s="123" t="s">
        <v>180</v>
      </c>
      <c r="C181" s="124"/>
      <c r="D181" s="124"/>
      <c r="E181" s="125"/>
      <c r="F181" s="144">
        <v>1</v>
      </c>
      <c r="G181" s="144">
        <v>28</v>
      </c>
      <c r="H181" s="145">
        <v>0</v>
      </c>
      <c r="I181" s="146">
        <v>5000</v>
      </c>
      <c r="J181" s="147">
        <v>3</v>
      </c>
      <c r="K181" s="145" t="s">
        <v>91</v>
      </c>
      <c r="L181" s="145"/>
      <c r="M181" s="148"/>
      <c r="N181" s="141">
        <f>IF($L$176="ON",IF(AND(G181&lt;=$C$12,F181&lt;=$C$9,H181&lt;=$C$10),G181/J181,"Restrict"),G181/J181)</f>
        <v>9.333333333333334</v>
      </c>
      <c r="O181" s="133">
        <f>IF($L$176="ON",IF(AND(G181&lt;=$C$12,F181&lt;=$C$9,H181&lt;=$C$10),I181/G181,"Restrict"),I181/G181)</f>
        <v>178.57142857142858</v>
      </c>
      <c r="Q181" s="69"/>
      <c r="R181" s="42">
        <f t="shared" si="15"/>
        <v>40001.854488888464</v>
      </c>
      <c r="S181" s="149">
        <f t="shared" si="17"/>
        <v>1242645978</v>
      </c>
      <c r="T181" s="149"/>
      <c r="U181" s="36">
        <f t="shared" si="16"/>
        <v>177</v>
      </c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2:93" ht="15">
      <c r="B182" s="123"/>
      <c r="C182" s="124"/>
      <c r="D182" s="124"/>
      <c r="E182" s="125"/>
      <c r="F182" s="144"/>
      <c r="G182" s="144"/>
      <c r="H182" s="145"/>
      <c r="I182" s="146"/>
      <c r="J182" s="147"/>
      <c r="K182" s="145"/>
      <c r="L182" s="145"/>
      <c r="M182" s="148"/>
      <c r="N182" s="142"/>
      <c r="O182" s="134"/>
      <c r="Q182" s="69"/>
      <c r="R182" s="42">
        <f t="shared" si="15"/>
        <v>40001.89615555513</v>
      </c>
      <c r="S182" s="149">
        <f t="shared" si="17"/>
        <v>1249623378</v>
      </c>
      <c r="T182" s="149"/>
      <c r="U182" s="36">
        <f t="shared" si="16"/>
        <v>178</v>
      </c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3"/>
      <c r="CG182" s="3"/>
      <c r="CH182" s="3"/>
      <c r="CI182" s="3"/>
      <c r="CJ182" s="3"/>
      <c r="CK182" s="3"/>
      <c r="CL182" s="3"/>
      <c r="CM182" s="3"/>
      <c r="CN182" s="3"/>
      <c r="CO182" s="3"/>
    </row>
    <row r="183" spans="2:93" ht="15">
      <c r="B183" s="123" t="s">
        <v>181</v>
      </c>
      <c r="C183" s="124"/>
      <c r="D183" s="124"/>
      <c r="E183" s="125"/>
      <c r="F183" s="129">
        <v>2</v>
      </c>
      <c r="G183" s="129">
        <v>52</v>
      </c>
      <c r="H183" s="131">
        <v>0</v>
      </c>
      <c r="I183" s="135">
        <v>10250</v>
      </c>
      <c r="J183" s="137">
        <v>5</v>
      </c>
      <c r="K183" s="131" t="s">
        <v>143</v>
      </c>
      <c r="L183" s="131"/>
      <c r="M183" s="139"/>
      <c r="N183" s="141">
        <f>IF($L$176="ON",IF(AND(G183&lt;=$C$12,F183&lt;=$C$9,H183&lt;=$C$10),G183/J183,"Restrict"),G183/J183)</f>
        <v>10.4</v>
      </c>
      <c r="O183" s="133">
        <f>IF($L$176="ON",IF(AND(G183&lt;=$C$12,F183&lt;=$C$9,H183&lt;=$C$10),I183/G183,"Restrict"),I183/G183)</f>
        <v>197.1153846153846</v>
      </c>
      <c r="Q183" s="69"/>
      <c r="R183" s="42">
        <f t="shared" si="15"/>
        <v>40001.93782222179</v>
      </c>
      <c r="S183" s="149">
        <f t="shared" si="17"/>
        <v>1256600778</v>
      </c>
      <c r="T183" s="149"/>
      <c r="U183" s="36">
        <f t="shared" si="16"/>
        <v>179</v>
      </c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3"/>
      <c r="CG183" s="3"/>
      <c r="CH183" s="3"/>
      <c r="CI183" s="3"/>
      <c r="CJ183" s="3"/>
      <c r="CK183" s="3"/>
      <c r="CL183" s="3"/>
      <c r="CM183" s="3"/>
      <c r="CN183" s="3"/>
      <c r="CO183" s="3"/>
    </row>
    <row r="184" spans="2:93" ht="15">
      <c r="B184" s="123"/>
      <c r="C184" s="124"/>
      <c r="D184" s="124"/>
      <c r="E184" s="125"/>
      <c r="F184" s="129"/>
      <c r="G184" s="129"/>
      <c r="H184" s="131"/>
      <c r="I184" s="135"/>
      <c r="J184" s="137"/>
      <c r="K184" s="131"/>
      <c r="L184" s="131"/>
      <c r="M184" s="139"/>
      <c r="N184" s="142"/>
      <c r="O184" s="134"/>
      <c r="Q184" s="69"/>
      <c r="R184" s="42">
        <f t="shared" si="15"/>
        <v>40001.97948888846</v>
      </c>
      <c r="S184" s="149">
        <f t="shared" si="17"/>
        <v>1263578178</v>
      </c>
      <c r="T184" s="149"/>
      <c r="U184" s="36">
        <f t="shared" si="16"/>
        <v>180</v>
      </c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2:93" ht="15" customHeight="1">
      <c r="B185" s="123" t="s">
        <v>182</v>
      </c>
      <c r="C185" s="124"/>
      <c r="D185" s="124"/>
      <c r="E185" s="125"/>
      <c r="F185" s="144">
        <v>3</v>
      </c>
      <c r="G185" s="144">
        <v>63</v>
      </c>
      <c r="H185" s="145">
        <v>2</v>
      </c>
      <c r="I185" s="146">
        <v>14000</v>
      </c>
      <c r="J185" s="147">
        <v>7</v>
      </c>
      <c r="K185" s="145" t="s">
        <v>90</v>
      </c>
      <c r="L185" s="145"/>
      <c r="M185" s="148"/>
      <c r="N185" s="141">
        <f>IF($L$176="ON",IF(AND(G185&lt;=$C$12,F185&lt;=$C$9,H185&lt;=$C$10),G185/J185,"Restrict"),G185/J185)</f>
        <v>9</v>
      </c>
      <c r="O185" s="133">
        <f>IF($L$176="ON",IF(AND(G185&lt;=$C$12,F185&lt;=$C$9,H185&lt;=$C$10),I185/G185,"Restrict"),I185/G185)</f>
        <v>222.22222222222223</v>
      </c>
      <c r="Q185" s="69"/>
      <c r="R185" s="42">
        <f t="shared" si="15"/>
        <v>40002.02115555512</v>
      </c>
      <c r="S185" s="149">
        <f t="shared" si="17"/>
        <v>1270555578</v>
      </c>
      <c r="T185" s="149"/>
      <c r="U185" s="36">
        <f t="shared" si="16"/>
        <v>181</v>
      </c>
      <c r="V185" s="112"/>
      <c r="W185" s="112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2:93" ht="15" customHeight="1">
      <c r="B186" s="123"/>
      <c r="C186" s="124"/>
      <c r="D186" s="124"/>
      <c r="E186" s="125"/>
      <c r="F186" s="144"/>
      <c r="G186" s="144"/>
      <c r="H186" s="145"/>
      <c r="I186" s="146"/>
      <c r="J186" s="147"/>
      <c r="K186" s="145"/>
      <c r="L186" s="145"/>
      <c r="M186" s="148"/>
      <c r="N186" s="142"/>
      <c r="O186" s="134"/>
      <c r="Q186" s="69"/>
      <c r="R186" s="42">
        <f t="shared" si="15"/>
        <v>40002.062822221786</v>
      </c>
      <c r="S186" s="149">
        <f t="shared" si="17"/>
        <v>1277532978</v>
      </c>
      <c r="T186" s="149"/>
      <c r="U186" s="36">
        <f t="shared" si="16"/>
        <v>182</v>
      </c>
      <c r="V186" s="112"/>
      <c r="W186" s="112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3"/>
      <c r="CG186" s="3"/>
      <c r="CH186" s="3"/>
      <c r="CI186" s="3"/>
      <c r="CJ186" s="3"/>
      <c r="CK186" s="3"/>
      <c r="CL186" s="3"/>
      <c r="CM186" s="3"/>
      <c r="CN186" s="3"/>
      <c r="CO186" s="3"/>
    </row>
    <row r="187" spans="2:93" ht="15" customHeight="1">
      <c r="B187" s="123" t="s">
        <v>183</v>
      </c>
      <c r="C187" s="124"/>
      <c r="D187" s="124"/>
      <c r="E187" s="125"/>
      <c r="F187" s="129">
        <v>5</v>
      </c>
      <c r="G187" s="129">
        <v>70</v>
      </c>
      <c r="H187" s="131">
        <v>2</v>
      </c>
      <c r="I187" s="135">
        <v>19000</v>
      </c>
      <c r="J187" s="137">
        <v>8</v>
      </c>
      <c r="K187" s="131" t="s">
        <v>124</v>
      </c>
      <c r="L187" s="131"/>
      <c r="M187" s="139"/>
      <c r="N187" s="141">
        <f>IF($L$176="ON",IF(AND(G187&lt;=$C$12,F187&lt;=$C$9,H187&lt;=$C$10),G187/J187,"Restrict"),G187/J187)</f>
        <v>8.75</v>
      </c>
      <c r="O187" s="133">
        <f>IF($L$176="ON",IF(AND(G187&lt;=$C$12,F187&lt;=$C$9,H187&lt;=$C$10),I187/G187,"Restrict"),I187/G187)</f>
        <v>271.42857142857144</v>
      </c>
      <c r="Q187" s="69"/>
      <c r="R187" s="42">
        <f t="shared" si="15"/>
        <v>40002.10448888845</v>
      </c>
      <c r="S187" s="149">
        <f t="shared" si="17"/>
        <v>1284510378</v>
      </c>
      <c r="T187" s="149"/>
      <c r="U187" s="36">
        <f t="shared" si="16"/>
        <v>183</v>
      </c>
      <c r="V187" s="112"/>
      <c r="W187" s="112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3"/>
      <c r="CG187" s="3"/>
      <c r="CH187" s="3"/>
      <c r="CI187" s="3"/>
      <c r="CJ187" s="3"/>
      <c r="CK187" s="3"/>
      <c r="CL187" s="3"/>
      <c r="CM187" s="3"/>
      <c r="CN187" s="3"/>
      <c r="CO187" s="3"/>
    </row>
    <row r="188" spans="2:93" ht="15" customHeight="1">
      <c r="B188" s="123"/>
      <c r="C188" s="124"/>
      <c r="D188" s="124"/>
      <c r="E188" s="125"/>
      <c r="F188" s="129"/>
      <c r="G188" s="129"/>
      <c r="H188" s="131"/>
      <c r="I188" s="135"/>
      <c r="J188" s="137"/>
      <c r="K188" s="131"/>
      <c r="L188" s="131"/>
      <c r="M188" s="139"/>
      <c r="N188" s="142"/>
      <c r="O188" s="134"/>
      <c r="Q188" s="69"/>
      <c r="R188" s="42">
        <f t="shared" si="15"/>
        <v>40002.146155555114</v>
      </c>
      <c r="S188" s="149">
        <f t="shared" si="17"/>
        <v>1291487778</v>
      </c>
      <c r="T188" s="149"/>
      <c r="U188" s="36">
        <f t="shared" si="16"/>
        <v>184</v>
      </c>
      <c r="V188" s="112"/>
      <c r="W188" s="112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2:93" ht="15.75" customHeight="1">
      <c r="B189" s="123" t="s">
        <v>184</v>
      </c>
      <c r="C189" s="124"/>
      <c r="D189" s="124"/>
      <c r="E189" s="125"/>
      <c r="F189" s="144">
        <v>6</v>
      </c>
      <c r="G189" s="144">
        <v>82</v>
      </c>
      <c r="H189" s="145">
        <v>3</v>
      </c>
      <c r="I189" s="146">
        <v>24500</v>
      </c>
      <c r="J189" s="147">
        <v>8</v>
      </c>
      <c r="K189" s="145" t="s">
        <v>90</v>
      </c>
      <c r="L189" s="145"/>
      <c r="M189" s="148"/>
      <c r="N189" s="141">
        <f>IF($L$176="ON",IF(AND(G189&lt;=$C$12,F189&lt;=$C$9,H189&lt;=$C$10),G189/J189,"Restrict"),G189/J189)</f>
        <v>10.25</v>
      </c>
      <c r="O189" s="133">
        <f>IF($L$176="ON",IF(AND(G189&lt;=$C$12,F189&lt;=$C$9,H189&lt;=$C$10),I189/G189,"Restrict"),I189/G189)</f>
        <v>298.780487804878</v>
      </c>
      <c r="R189" s="42">
        <f t="shared" si="15"/>
        <v>40002.18782222178</v>
      </c>
      <c r="S189" s="149">
        <f t="shared" si="17"/>
        <v>1298465178</v>
      </c>
      <c r="T189" s="149"/>
      <c r="U189" s="36">
        <f t="shared" si="16"/>
        <v>185</v>
      </c>
      <c r="V189" s="112"/>
      <c r="W189" s="112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2:93" ht="15.75" customHeight="1">
      <c r="B190" s="126"/>
      <c r="C190" s="127"/>
      <c r="D190" s="127"/>
      <c r="E190" s="128"/>
      <c r="F190" s="163"/>
      <c r="G190" s="163"/>
      <c r="H190" s="161"/>
      <c r="I190" s="159"/>
      <c r="J190" s="160"/>
      <c r="K190" s="161"/>
      <c r="L190" s="161"/>
      <c r="M190" s="162"/>
      <c r="N190" s="142"/>
      <c r="O190" s="134"/>
      <c r="R190" s="42">
        <f t="shared" si="15"/>
        <v>40002.22948888844</v>
      </c>
      <c r="S190" s="149">
        <f t="shared" si="17"/>
        <v>1305442578</v>
      </c>
      <c r="T190" s="149"/>
      <c r="U190" s="36">
        <f t="shared" si="16"/>
        <v>186</v>
      </c>
      <c r="V190" s="112"/>
      <c r="W190" s="112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2:93" ht="15" customHeight="1">
      <c r="B191" s="155" t="s">
        <v>185</v>
      </c>
      <c r="C191" s="156"/>
      <c r="D191" s="156"/>
      <c r="E191" s="157"/>
      <c r="F191" s="109" t="s">
        <v>171</v>
      </c>
      <c r="G191" s="78" t="s">
        <v>176</v>
      </c>
      <c r="H191" s="78" t="s">
        <v>177</v>
      </c>
      <c r="I191" s="78" t="s">
        <v>179</v>
      </c>
      <c r="J191" s="113" t="s">
        <v>175</v>
      </c>
      <c r="K191" s="158" t="s">
        <v>41</v>
      </c>
      <c r="L191" s="158"/>
      <c r="M191" s="158"/>
      <c r="N191" s="110" t="s">
        <v>175</v>
      </c>
      <c r="O191" s="111" t="s">
        <v>33</v>
      </c>
      <c r="R191" s="42">
        <f t="shared" si="15"/>
        <v>40002.27115555511</v>
      </c>
      <c r="S191" s="149">
        <f t="shared" si="17"/>
        <v>1312419978</v>
      </c>
      <c r="T191" s="149"/>
      <c r="U191" s="36">
        <f t="shared" si="16"/>
        <v>187</v>
      </c>
      <c r="V191" s="112"/>
      <c r="W191" s="112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3"/>
      <c r="CG191" s="3"/>
      <c r="CH191" s="3"/>
      <c r="CI191" s="3"/>
      <c r="CJ191" s="3"/>
      <c r="CK191" s="3"/>
      <c r="CL191" s="3"/>
      <c r="CM191" s="3"/>
      <c r="CN191" s="3"/>
      <c r="CO191" s="3"/>
    </row>
    <row r="192" spans="2:93" ht="15" customHeight="1">
      <c r="B192" s="123" t="s">
        <v>188</v>
      </c>
      <c r="C192" s="124"/>
      <c r="D192" s="124"/>
      <c r="E192" s="125"/>
      <c r="F192" s="151">
        <v>4</v>
      </c>
      <c r="G192" s="151">
        <v>41</v>
      </c>
      <c r="H192" s="152">
        <v>0</v>
      </c>
      <c r="I192" s="153">
        <v>10000</v>
      </c>
      <c r="J192" s="154">
        <v>4</v>
      </c>
      <c r="K192" s="131" t="s">
        <v>90</v>
      </c>
      <c r="L192" s="131"/>
      <c r="M192" s="139"/>
      <c r="N192" s="141">
        <f>IF($L$176="ON",IF(AND(G192&lt;=$C$12,F192&lt;=$C$9,H192&lt;=$C$10),G192/J192,"Restrict"),G192/J192)</f>
        <v>10.25</v>
      </c>
      <c r="O192" s="133">
        <f>IF($L$176="ON",IF(AND(G192&lt;=$C$12,F192&lt;=$C$9,H192&lt;=$C$10),I192/G192,"Restrict"),I192/G192)</f>
        <v>243.90243902439025</v>
      </c>
      <c r="R192" s="42">
        <f t="shared" si="15"/>
        <v>40002.31282222177</v>
      </c>
      <c r="S192" s="149">
        <f t="shared" si="17"/>
        <v>1319397378</v>
      </c>
      <c r="T192" s="149"/>
      <c r="U192" s="36">
        <f t="shared" si="16"/>
        <v>188</v>
      </c>
      <c r="V192" s="112"/>
      <c r="W192" s="112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2:93" ht="15" customHeight="1">
      <c r="B193" s="123"/>
      <c r="C193" s="124"/>
      <c r="D193" s="124"/>
      <c r="E193" s="125"/>
      <c r="F193" s="129"/>
      <c r="G193" s="129"/>
      <c r="H193" s="131"/>
      <c r="I193" s="135"/>
      <c r="J193" s="137"/>
      <c r="K193" s="131"/>
      <c r="L193" s="131"/>
      <c r="M193" s="139"/>
      <c r="N193" s="142"/>
      <c r="O193" s="143"/>
      <c r="R193" s="42">
        <f t="shared" si="15"/>
        <v>40002.354488888435</v>
      </c>
      <c r="S193" s="149">
        <f t="shared" si="17"/>
        <v>1326374778</v>
      </c>
      <c r="T193" s="149"/>
      <c r="U193" s="36">
        <f t="shared" si="16"/>
        <v>189</v>
      </c>
      <c r="V193" s="112"/>
      <c r="W193" s="112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3"/>
      <c r="CG193" s="3"/>
      <c r="CH193" s="3"/>
      <c r="CI193" s="3"/>
      <c r="CJ193" s="3"/>
      <c r="CK193" s="3"/>
      <c r="CL193" s="3"/>
      <c r="CM193" s="3"/>
      <c r="CN193" s="3"/>
      <c r="CO193" s="3"/>
    </row>
    <row r="194" spans="2:93" ht="15" customHeight="1">
      <c r="B194" s="123" t="s">
        <v>189</v>
      </c>
      <c r="C194" s="124"/>
      <c r="D194" s="124"/>
      <c r="E194" s="125"/>
      <c r="F194" s="144">
        <v>20</v>
      </c>
      <c r="G194" s="144">
        <v>205</v>
      </c>
      <c r="H194" s="145">
        <v>18</v>
      </c>
      <c r="I194" s="146">
        <v>130000</v>
      </c>
      <c r="J194" s="147">
        <v>20</v>
      </c>
      <c r="K194" s="145" t="s">
        <v>90</v>
      </c>
      <c r="L194" s="145"/>
      <c r="M194" s="148"/>
      <c r="N194" s="141">
        <f>IF($L$176="ON",IF(AND(G194&lt;=$C$12,F194&lt;=$C$9,H194&lt;=$C$10),G194/J194,"Restrict"),G194/J194)</f>
        <v>10.25</v>
      </c>
      <c r="O194" s="133">
        <f>IF($L$176="ON",IF(AND(G194&lt;=$C$12,F194&lt;=$C$9,H194&lt;=$C$10),I194/G194,"Restrict"),I194/G194)</f>
        <v>634.1463414634146</v>
      </c>
      <c r="R194" s="42">
        <f t="shared" si="15"/>
        <v>40002.3961555551</v>
      </c>
      <c r="S194" s="149">
        <f t="shared" si="17"/>
        <v>1333352178</v>
      </c>
      <c r="T194" s="149"/>
      <c r="U194" s="36">
        <f t="shared" si="16"/>
        <v>190</v>
      </c>
      <c r="V194" s="112"/>
      <c r="W194" s="112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2:93" ht="15" customHeight="1">
      <c r="B195" s="123"/>
      <c r="C195" s="124"/>
      <c r="D195" s="124"/>
      <c r="E195" s="125"/>
      <c r="F195" s="144"/>
      <c r="G195" s="144"/>
      <c r="H195" s="145"/>
      <c r="I195" s="146"/>
      <c r="J195" s="147"/>
      <c r="K195" s="145"/>
      <c r="L195" s="145"/>
      <c r="M195" s="148"/>
      <c r="N195" s="142"/>
      <c r="O195" s="134"/>
      <c r="R195" s="42">
        <f t="shared" si="15"/>
        <v>40002.437822221764</v>
      </c>
      <c r="S195" s="149">
        <f t="shared" si="17"/>
        <v>1340329578</v>
      </c>
      <c r="T195" s="149"/>
      <c r="U195" s="36">
        <f t="shared" si="16"/>
        <v>191</v>
      </c>
      <c r="V195" s="112"/>
      <c r="W195" s="112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3"/>
      <c r="CG195" s="3"/>
      <c r="CH195" s="3"/>
      <c r="CI195" s="3"/>
      <c r="CJ195" s="3"/>
      <c r="CK195" s="3"/>
      <c r="CL195" s="3"/>
      <c r="CM195" s="3"/>
      <c r="CN195" s="3"/>
      <c r="CO195" s="3"/>
    </row>
    <row r="196" spans="2:93" ht="15" customHeight="1">
      <c r="B196" s="123" t="s">
        <v>208</v>
      </c>
      <c r="C196" s="124"/>
      <c r="D196" s="124"/>
      <c r="E196" s="125"/>
      <c r="F196" s="129">
        <v>25</v>
      </c>
      <c r="G196" s="129">
        <v>228</v>
      </c>
      <c r="H196" s="131">
        <v>24</v>
      </c>
      <c r="I196" s="135">
        <v>162500</v>
      </c>
      <c r="J196" s="137">
        <v>25</v>
      </c>
      <c r="K196" s="131" t="s">
        <v>225</v>
      </c>
      <c r="L196" s="131"/>
      <c r="M196" s="139"/>
      <c r="N196" s="141">
        <f>IF($L$176="ON",IF(AND(G196&lt;=$C$12,F196&lt;=$C$9,H196&lt;=$C$10),G196/J196,"Restrict"),G196/J196)</f>
        <v>9.12</v>
      </c>
      <c r="O196" s="133">
        <f>IF($L$176="ON",IF(AND(G196&lt;=$C$12,F196&lt;=$C$9,H196&lt;=$C$10),I196/G196,"Restrict"),I196/G196)</f>
        <v>712.719298245614</v>
      </c>
      <c r="R196" s="42">
        <f t="shared" si="15"/>
        <v>40002.47948888843</v>
      </c>
      <c r="S196" s="149">
        <f t="shared" si="17"/>
        <v>1347306978</v>
      </c>
      <c r="T196" s="149"/>
      <c r="U196" s="36">
        <f t="shared" si="16"/>
        <v>192</v>
      </c>
      <c r="V196" s="112"/>
      <c r="W196" s="112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3"/>
      <c r="CG196" s="3"/>
      <c r="CH196" s="3"/>
      <c r="CI196" s="3"/>
      <c r="CJ196" s="3"/>
      <c r="CK196" s="3"/>
      <c r="CL196" s="3"/>
      <c r="CM196" s="3"/>
      <c r="CN196" s="3"/>
      <c r="CO196" s="3"/>
    </row>
    <row r="197" spans="2:93" ht="15" customHeight="1">
      <c r="B197" s="123"/>
      <c r="C197" s="124"/>
      <c r="D197" s="124"/>
      <c r="E197" s="125"/>
      <c r="F197" s="129"/>
      <c r="G197" s="129"/>
      <c r="H197" s="131"/>
      <c r="I197" s="135"/>
      <c r="J197" s="137"/>
      <c r="K197" s="131"/>
      <c r="L197" s="131"/>
      <c r="M197" s="139"/>
      <c r="N197" s="142"/>
      <c r="O197" s="134"/>
      <c r="R197" s="42">
        <f t="shared" si="15"/>
        <v>40002.52115555509</v>
      </c>
      <c r="S197" s="149">
        <f t="shared" si="17"/>
        <v>1354284378</v>
      </c>
      <c r="T197" s="149"/>
      <c r="U197" s="36">
        <f t="shared" si="16"/>
        <v>193</v>
      </c>
      <c r="V197" s="83" t="str">
        <f>IF($C$13=60,"8 Days","")</f>
        <v>8 Days</v>
      </c>
      <c r="W197" s="112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3"/>
      <c r="CG197" s="3"/>
      <c r="CH197" s="3"/>
      <c r="CI197" s="3"/>
      <c r="CJ197" s="3"/>
      <c r="CK197" s="3"/>
      <c r="CL197" s="3"/>
      <c r="CM197" s="3"/>
      <c r="CN197" s="3"/>
      <c r="CO197" s="3"/>
    </row>
    <row r="198" spans="2:93" ht="15" customHeight="1">
      <c r="B198" s="123" t="s">
        <v>209</v>
      </c>
      <c r="C198" s="124"/>
      <c r="D198" s="124"/>
      <c r="E198" s="125"/>
      <c r="F198" s="144"/>
      <c r="G198" s="144">
        <v>250</v>
      </c>
      <c r="H198" s="145">
        <v>26</v>
      </c>
      <c r="I198" s="146">
        <v>197500</v>
      </c>
      <c r="J198" s="147">
        <v>26</v>
      </c>
      <c r="K198" s="145" t="s">
        <v>90</v>
      </c>
      <c r="L198" s="145"/>
      <c r="M198" s="148"/>
      <c r="N198" s="141">
        <f>IF($L$176="ON",IF(AND(G198&lt;=$C$12,F198&lt;=$C$9,H198&lt;=$C$10),G198/J198,"Restrict"),G198/J198)</f>
        <v>9.615384615384615</v>
      </c>
      <c r="O198" s="133">
        <f>IF($L$176="ON",IF(AND(G198&lt;=$C$12,F198&lt;=$C$9,H198&lt;=$C$10),I198/G198,"Restrict"),I198/G198)</f>
        <v>790</v>
      </c>
      <c r="R198" s="42">
        <f aca="true" t="shared" si="18" ref="R198:R225">R197+TIME(0,$C$13,0)</f>
        <v>40002.56282222176</v>
      </c>
      <c r="S198" s="149">
        <f t="shared" si="17"/>
        <v>1361261778</v>
      </c>
      <c r="T198" s="149"/>
      <c r="U198" s="36">
        <f t="shared" si="16"/>
        <v>194</v>
      </c>
      <c r="V198" s="112"/>
      <c r="W198" s="112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2:93" ht="15" customHeight="1">
      <c r="B199" s="123"/>
      <c r="C199" s="124"/>
      <c r="D199" s="124"/>
      <c r="E199" s="125"/>
      <c r="F199" s="144"/>
      <c r="G199" s="144"/>
      <c r="H199" s="145"/>
      <c r="I199" s="146"/>
      <c r="J199" s="147"/>
      <c r="K199" s="145"/>
      <c r="L199" s="145"/>
      <c r="M199" s="148"/>
      <c r="N199" s="142"/>
      <c r="O199" s="134"/>
      <c r="R199" s="42">
        <f t="shared" si="18"/>
        <v>40002.60448888842</v>
      </c>
      <c r="S199" s="149">
        <f t="shared" si="17"/>
        <v>1368239178</v>
      </c>
      <c r="T199" s="149"/>
      <c r="U199" s="36">
        <f aca="true" t="shared" si="19" ref="U199:U225">U198+1</f>
        <v>195</v>
      </c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2:93" ht="15" customHeight="1">
      <c r="B200" s="123" t="s">
        <v>210</v>
      </c>
      <c r="C200" s="124"/>
      <c r="D200" s="124"/>
      <c r="E200" s="125"/>
      <c r="F200" s="129"/>
      <c r="G200" s="129">
        <v>618</v>
      </c>
      <c r="H200" s="131">
        <v>145</v>
      </c>
      <c r="I200" s="135">
        <v>1204000</v>
      </c>
      <c r="J200" s="137">
        <v>67</v>
      </c>
      <c r="K200" s="131" t="s">
        <v>219</v>
      </c>
      <c r="L200" s="131"/>
      <c r="M200" s="139"/>
      <c r="N200" s="141" t="str">
        <f>IF($L$176="ON",IF(AND(G200&lt;=$C$12,F200&lt;=$C$9,H200&lt;=$C$10),G200/J200,"Restrict"),G200/J200)</f>
        <v>Restrict</v>
      </c>
      <c r="O200" s="133" t="str">
        <f>IF($L$176="ON",IF(AND(G200&lt;=$C$12,F200&lt;=$C$9,H200&lt;=$C$10),I200/G200,"Restrict"),I200/G200)</f>
        <v>Restrict</v>
      </c>
      <c r="R200" s="42">
        <f t="shared" si="18"/>
        <v>40002.646155555085</v>
      </c>
      <c r="S200" s="149">
        <f t="shared" si="17"/>
        <v>1375216578</v>
      </c>
      <c r="T200" s="149"/>
      <c r="U200" s="36">
        <f t="shared" si="19"/>
        <v>196</v>
      </c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2:93" ht="15" customHeight="1">
      <c r="B201" s="123"/>
      <c r="C201" s="124"/>
      <c r="D201" s="124"/>
      <c r="E201" s="125"/>
      <c r="F201" s="129"/>
      <c r="G201" s="129"/>
      <c r="H201" s="131"/>
      <c r="I201" s="135"/>
      <c r="J201" s="137"/>
      <c r="K201" s="131"/>
      <c r="L201" s="131"/>
      <c r="M201" s="139"/>
      <c r="N201" s="142"/>
      <c r="O201" s="134"/>
      <c r="R201" s="42">
        <f t="shared" si="18"/>
        <v>40002.68782222175</v>
      </c>
      <c r="S201" s="149">
        <f t="shared" si="17"/>
        <v>1382193978</v>
      </c>
      <c r="T201" s="149"/>
      <c r="U201" s="36">
        <f t="shared" si="19"/>
        <v>197</v>
      </c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3"/>
      <c r="CG201" s="3"/>
      <c r="CH201" s="3"/>
      <c r="CI201" s="3"/>
      <c r="CJ201" s="3"/>
      <c r="CK201" s="3"/>
      <c r="CL201" s="3"/>
      <c r="CM201" s="3"/>
      <c r="CN201" s="3"/>
      <c r="CO201" s="3"/>
    </row>
    <row r="202" spans="2:93" ht="15" customHeight="1">
      <c r="B202" s="123" t="s">
        <v>211</v>
      </c>
      <c r="C202" s="124"/>
      <c r="D202" s="124"/>
      <c r="E202" s="125"/>
      <c r="F202" s="144"/>
      <c r="G202" s="144">
        <v>654</v>
      </c>
      <c r="H202" s="145">
        <v>161</v>
      </c>
      <c r="I202" s="146">
        <v>1425000</v>
      </c>
      <c r="J202" s="147">
        <v>70</v>
      </c>
      <c r="K202" s="145" t="s">
        <v>90</v>
      </c>
      <c r="L202" s="145"/>
      <c r="M202" s="148"/>
      <c r="N202" s="141" t="str">
        <f>IF($L$176="ON",IF(AND(G202&lt;=$C$12,F202&lt;=$C$9,H202&lt;=$C$10),G202/J202,"Restrict"),G202/J202)</f>
        <v>Restrict</v>
      </c>
      <c r="O202" s="133" t="str">
        <f>IF($L$176="ON",IF(AND(G202&lt;=$C$12,F202&lt;=$C$9,H202&lt;=$C$10),I202/G202,"Restrict"),I202/G202)</f>
        <v>Restrict</v>
      </c>
      <c r="R202" s="42">
        <f t="shared" si="18"/>
        <v>40002.72948888841</v>
      </c>
      <c r="S202" s="149">
        <f t="shared" si="17"/>
        <v>1389171378</v>
      </c>
      <c r="T202" s="149"/>
      <c r="U202" s="36">
        <f t="shared" si="19"/>
        <v>198</v>
      </c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3"/>
      <c r="CG202" s="3"/>
      <c r="CH202" s="3"/>
      <c r="CI202" s="3"/>
      <c r="CJ202" s="3"/>
      <c r="CK202" s="3"/>
      <c r="CL202" s="3"/>
      <c r="CM202" s="3"/>
      <c r="CN202" s="3"/>
      <c r="CO202" s="3"/>
    </row>
    <row r="203" spans="2:93" ht="15" customHeight="1">
      <c r="B203" s="123"/>
      <c r="C203" s="124"/>
      <c r="D203" s="124"/>
      <c r="E203" s="125"/>
      <c r="F203" s="144"/>
      <c r="G203" s="144"/>
      <c r="H203" s="145"/>
      <c r="I203" s="146"/>
      <c r="J203" s="147"/>
      <c r="K203" s="145"/>
      <c r="L203" s="145"/>
      <c r="M203" s="148"/>
      <c r="N203" s="142"/>
      <c r="O203" s="134"/>
      <c r="R203" s="42">
        <f t="shared" si="18"/>
        <v>40002.77115555508</v>
      </c>
      <c r="S203" s="149">
        <f t="shared" si="17"/>
        <v>1396148778</v>
      </c>
      <c r="T203" s="149"/>
      <c r="U203" s="36">
        <f t="shared" si="19"/>
        <v>199</v>
      </c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3"/>
      <c r="CG203" s="3"/>
      <c r="CH203" s="3"/>
      <c r="CI203" s="3"/>
      <c r="CJ203" s="3"/>
      <c r="CK203" s="3"/>
      <c r="CL203" s="3"/>
      <c r="CM203" s="3"/>
      <c r="CN203" s="3"/>
      <c r="CO203" s="3"/>
    </row>
    <row r="204" spans="2:93" ht="15" customHeight="1">
      <c r="B204" s="123" t="s">
        <v>212</v>
      </c>
      <c r="C204" s="124"/>
      <c r="D204" s="124"/>
      <c r="E204" s="125"/>
      <c r="F204" s="129"/>
      <c r="G204" s="129">
        <v>675</v>
      </c>
      <c r="H204" s="131">
        <v>178</v>
      </c>
      <c r="I204" s="135">
        <v>1600000</v>
      </c>
      <c r="J204" s="137">
        <v>75</v>
      </c>
      <c r="K204" s="131" t="s">
        <v>219</v>
      </c>
      <c r="L204" s="131"/>
      <c r="M204" s="139"/>
      <c r="N204" s="141" t="str">
        <f>IF($L$176="ON",IF(AND(G204&lt;=$C$12,F204&lt;=$C$9,H204&lt;=$C$10),G204/J204,"Restrict"),G204/J204)</f>
        <v>Restrict</v>
      </c>
      <c r="O204" s="133" t="str">
        <f>IF($L$176="ON",IF(AND(G204&lt;=$C$12,F204&lt;=$C$9,H204&lt;=$C$10),I204/G204,"Restrict"),I204/G204)</f>
        <v>Restrict</v>
      </c>
      <c r="R204" s="42">
        <f t="shared" si="18"/>
        <v>40002.81282222174</v>
      </c>
      <c r="S204" s="149">
        <f t="shared" si="17"/>
        <v>1403126178</v>
      </c>
      <c r="T204" s="149"/>
      <c r="U204" s="36">
        <f t="shared" si="19"/>
        <v>200</v>
      </c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2:93" ht="15" customHeight="1">
      <c r="B205" s="126"/>
      <c r="C205" s="127"/>
      <c r="D205" s="127"/>
      <c r="E205" s="128"/>
      <c r="F205" s="130"/>
      <c r="G205" s="130"/>
      <c r="H205" s="132"/>
      <c r="I205" s="136"/>
      <c r="J205" s="138"/>
      <c r="K205" s="132"/>
      <c r="L205" s="132"/>
      <c r="M205" s="140"/>
      <c r="N205" s="142"/>
      <c r="O205" s="134"/>
      <c r="R205" s="42">
        <f t="shared" si="18"/>
        <v>40002.854488888406</v>
      </c>
      <c r="S205" s="149">
        <f t="shared" si="17"/>
        <v>1410103578</v>
      </c>
      <c r="T205" s="149"/>
      <c r="U205" s="36">
        <f t="shared" si="19"/>
        <v>201</v>
      </c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3"/>
      <c r="CG205" s="3"/>
      <c r="CH205" s="3"/>
      <c r="CI205" s="3"/>
      <c r="CJ205" s="3"/>
      <c r="CK205" s="3"/>
      <c r="CL205" s="3"/>
      <c r="CM205" s="3"/>
      <c r="CN205" s="3"/>
      <c r="CO205" s="3"/>
    </row>
    <row r="206" spans="2:93" ht="15" customHeight="1">
      <c r="B206" s="155" t="s">
        <v>186</v>
      </c>
      <c r="C206" s="156"/>
      <c r="D206" s="156"/>
      <c r="E206" s="157"/>
      <c r="F206" s="109" t="s">
        <v>171</v>
      </c>
      <c r="G206" s="78" t="s">
        <v>176</v>
      </c>
      <c r="H206" s="78" t="s">
        <v>177</v>
      </c>
      <c r="I206" s="78" t="s">
        <v>179</v>
      </c>
      <c r="J206" s="113" t="s">
        <v>175</v>
      </c>
      <c r="K206" s="158" t="s">
        <v>41</v>
      </c>
      <c r="L206" s="158"/>
      <c r="M206" s="158"/>
      <c r="N206" s="110" t="s">
        <v>175</v>
      </c>
      <c r="O206" s="111" t="s">
        <v>33</v>
      </c>
      <c r="R206" s="42">
        <f t="shared" si="18"/>
        <v>40002.89615555507</v>
      </c>
      <c r="S206" s="149">
        <f t="shared" si="17"/>
        <v>1417080978</v>
      </c>
      <c r="T206" s="149"/>
      <c r="U206" s="36">
        <f t="shared" si="19"/>
        <v>202</v>
      </c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2:93" ht="15" customHeight="1">
      <c r="B207" s="123" t="s">
        <v>190</v>
      </c>
      <c r="C207" s="124"/>
      <c r="D207" s="124"/>
      <c r="E207" s="125"/>
      <c r="F207" s="151">
        <v>7</v>
      </c>
      <c r="G207" s="151">
        <v>98</v>
      </c>
      <c r="H207" s="152">
        <v>5</v>
      </c>
      <c r="I207" s="153">
        <v>32500</v>
      </c>
      <c r="J207" s="154">
        <v>10</v>
      </c>
      <c r="K207" s="131" t="s">
        <v>90</v>
      </c>
      <c r="L207" s="131"/>
      <c r="M207" s="139"/>
      <c r="N207" s="141">
        <f>IF($L$176="ON",IF(AND(G207&lt;=$C$12,F207&lt;=$C$9,H207&lt;=$C$10),G207/J207,"Restrict"),G207/J207)</f>
        <v>9.8</v>
      </c>
      <c r="O207" s="133">
        <f>IF($L$176="ON",IF(AND(G207&lt;=$C$12,F207&lt;=$C$9,H207&lt;=$C$10),I207/G207,"Restrict"),I207/G207)</f>
        <v>331.6326530612245</v>
      </c>
      <c r="R207" s="42">
        <f t="shared" si="18"/>
        <v>40002.937822221735</v>
      </c>
      <c r="S207" s="149">
        <f t="shared" si="17"/>
        <v>1424058378</v>
      </c>
      <c r="T207" s="149"/>
      <c r="U207" s="36">
        <f t="shared" si="19"/>
        <v>203</v>
      </c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3"/>
      <c r="CG207" s="3"/>
      <c r="CH207" s="3"/>
      <c r="CI207" s="3"/>
      <c r="CJ207" s="3"/>
      <c r="CK207" s="3"/>
      <c r="CL207" s="3"/>
      <c r="CM207" s="3"/>
      <c r="CN207" s="3"/>
      <c r="CO207" s="3"/>
    </row>
    <row r="208" spans="2:93" ht="15" customHeight="1">
      <c r="B208" s="123"/>
      <c r="C208" s="124"/>
      <c r="D208" s="124"/>
      <c r="E208" s="125"/>
      <c r="F208" s="129"/>
      <c r="G208" s="129"/>
      <c r="H208" s="131"/>
      <c r="I208" s="135"/>
      <c r="J208" s="137"/>
      <c r="K208" s="131"/>
      <c r="L208" s="131"/>
      <c r="M208" s="139"/>
      <c r="N208" s="142"/>
      <c r="O208" s="143"/>
      <c r="R208" s="42">
        <f t="shared" si="18"/>
        <v>40002.9794888884</v>
      </c>
      <c r="S208" s="149">
        <f t="shared" si="17"/>
        <v>1431035778</v>
      </c>
      <c r="T208" s="149"/>
      <c r="U208" s="36">
        <f t="shared" si="19"/>
        <v>204</v>
      </c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3"/>
      <c r="CG208" s="3"/>
      <c r="CH208" s="3"/>
      <c r="CI208" s="3"/>
      <c r="CJ208" s="3"/>
      <c r="CK208" s="3"/>
      <c r="CL208" s="3"/>
      <c r="CM208" s="3"/>
      <c r="CN208" s="3"/>
      <c r="CO208" s="3"/>
    </row>
    <row r="209" spans="2:93" ht="15" customHeight="1">
      <c r="B209" s="123" t="s">
        <v>191</v>
      </c>
      <c r="C209" s="124"/>
      <c r="D209" s="124"/>
      <c r="E209" s="125"/>
      <c r="F209" s="144">
        <v>8</v>
      </c>
      <c r="G209" s="144">
        <v>90</v>
      </c>
      <c r="H209" s="145">
        <v>6</v>
      </c>
      <c r="I209" s="146">
        <v>33000</v>
      </c>
      <c r="J209" s="147">
        <v>9</v>
      </c>
      <c r="K209" s="145" t="s">
        <v>205</v>
      </c>
      <c r="L209" s="145"/>
      <c r="M209" s="148"/>
      <c r="N209" s="141">
        <f>IF($L$176="ON",IF(AND(G209&lt;=$C$12,F209&lt;=$C$9,H209&lt;=$C$10),G209/J209,"Restrict"),G209/J209)</f>
        <v>10</v>
      </c>
      <c r="O209" s="133">
        <f>IF($L$176="ON",IF(AND(G209&lt;=$C$12,F209&lt;=$C$9,H209&lt;=$C$10),I209/G209,"Restrict"),I209/G209)</f>
        <v>366.6666666666667</v>
      </c>
      <c r="R209" s="42">
        <f t="shared" si="18"/>
        <v>40003.02115555506</v>
      </c>
      <c r="S209" s="149">
        <f t="shared" si="17"/>
        <v>1438013178</v>
      </c>
      <c r="T209" s="149"/>
      <c r="U209" s="36">
        <f t="shared" si="19"/>
        <v>205</v>
      </c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3"/>
      <c r="CG209" s="3"/>
      <c r="CH209" s="3"/>
      <c r="CI209" s="3"/>
      <c r="CJ209" s="3"/>
      <c r="CK209" s="3"/>
      <c r="CL209" s="3"/>
      <c r="CM209" s="3"/>
      <c r="CN209" s="3"/>
      <c r="CO209" s="3"/>
    </row>
    <row r="210" spans="2:93" ht="15" customHeight="1">
      <c r="B210" s="123"/>
      <c r="C210" s="124"/>
      <c r="D210" s="124"/>
      <c r="E210" s="125"/>
      <c r="F210" s="144"/>
      <c r="G210" s="144"/>
      <c r="H210" s="145"/>
      <c r="I210" s="146"/>
      <c r="J210" s="147"/>
      <c r="K210" s="145"/>
      <c r="L210" s="145"/>
      <c r="M210" s="148"/>
      <c r="N210" s="142"/>
      <c r="O210" s="143"/>
      <c r="R210" s="42">
        <f t="shared" si="18"/>
        <v>40003.06282222173</v>
      </c>
      <c r="S210" s="149">
        <f t="shared" si="17"/>
        <v>1444990578</v>
      </c>
      <c r="T210" s="149"/>
      <c r="U210" s="36">
        <f t="shared" si="19"/>
        <v>206</v>
      </c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3"/>
      <c r="CG210" s="3"/>
      <c r="CH210" s="3"/>
      <c r="CI210" s="3"/>
      <c r="CJ210" s="3"/>
      <c r="CK210" s="3"/>
      <c r="CL210" s="3"/>
      <c r="CM210" s="3"/>
      <c r="CN210" s="3"/>
      <c r="CO210" s="3"/>
    </row>
    <row r="211" spans="2:93" ht="15" customHeight="1">
      <c r="B211" s="123" t="s">
        <v>192</v>
      </c>
      <c r="C211" s="124"/>
      <c r="D211" s="124"/>
      <c r="E211" s="125"/>
      <c r="F211" s="129">
        <v>9</v>
      </c>
      <c r="G211" s="129">
        <v>108</v>
      </c>
      <c r="H211" s="131">
        <v>8</v>
      </c>
      <c r="I211" s="135">
        <v>44000</v>
      </c>
      <c r="J211" s="137">
        <v>11</v>
      </c>
      <c r="K211" s="131" t="s">
        <v>90</v>
      </c>
      <c r="L211" s="131"/>
      <c r="M211" s="139"/>
      <c r="N211" s="141">
        <f>IF($L$176="ON",IF(AND(G211&lt;=$C$12,F211&lt;=$C$9,H211&lt;=$C$10),G211/J211,"Restrict"),G211/J211)</f>
        <v>9.818181818181818</v>
      </c>
      <c r="O211" s="133">
        <f>IF($L$176="ON",IF(AND(G211&lt;=$C$12,F211&lt;=$C$9,H211&lt;=$C$10),I211/G211,"Restrict"),I211/G211)</f>
        <v>407.4074074074074</v>
      </c>
      <c r="R211" s="42">
        <f t="shared" si="18"/>
        <v>40003.10448888839</v>
      </c>
      <c r="S211" s="149">
        <f t="shared" si="17"/>
        <v>1451967978</v>
      </c>
      <c r="T211" s="149"/>
      <c r="U211" s="36">
        <f t="shared" si="19"/>
        <v>207</v>
      </c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3"/>
      <c r="CG211" s="3"/>
      <c r="CH211" s="3"/>
      <c r="CI211" s="3"/>
      <c r="CJ211" s="3"/>
      <c r="CK211" s="3"/>
      <c r="CL211" s="3"/>
      <c r="CM211" s="3"/>
      <c r="CN211" s="3"/>
      <c r="CO211" s="3"/>
    </row>
    <row r="212" spans="2:93" ht="15" customHeight="1">
      <c r="B212" s="123"/>
      <c r="C212" s="124"/>
      <c r="D212" s="124"/>
      <c r="E212" s="125"/>
      <c r="F212" s="129"/>
      <c r="G212" s="129"/>
      <c r="H212" s="131"/>
      <c r="I212" s="135"/>
      <c r="J212" s="137"/>
      <c r="K212" s="131"/>
      <c r="L212" s="131"/>
      <c r="M212" s="139"/>
      <c r="N212" s="142"/>
      <c r="O212" s="143"/>
      <c r="R212" s="42">
        <f t="shared" si="18"/>
        <v>40003.146155555056</v>
      </c>
      <c r="S212" s="149">
        <f t="shared" si="17"/>
        <v>1458945378</v>
      </c>
      <c r="T212" s="149"/>
      <c r="U212" s="36">
        <f t="shared" si="19"/>
        <v>208</v>
      </c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3"/>
      <c r="CG212" s="3"/>
      <c r="CH212" s="3"/>
      <c r="CI212" s="3"/>
      <c r="CJ212" s="3"/>
      <c r="CK212" s="3"/>
      <c r="CL212" s="3"/>
      <c r="CM212" s="3"/>
      <c r="CN212" s="3"/>
      <c r="CO212" s="3"/>
    </row>
    <row r="213" spans="2:93" ht="15" customHeight="1">
      <c r="B213" s="123" t="s">
        <v>193</v>
      </c>
      <c r="C213" s="124"/>
      <c r="D213" s="124"/>
      <c r="E213" s="125"/>
      <c r="F213" s="144">
        <v>10</v>
      </c>
      <c r="G213" s="144">
        <v>124</v>
      </c>
      <c r="H213" s="145">
        <v>10</v>
      </c>
      <c r="I213" s="146">
        <v>55000</v>
      </c>
      <c r="J213" s="147">
        <v>13</v>
      </c>
      <c r="K213" s="145" t="s">
        <v>126</v>
      </c>
      <c r="L213" s="145"/>
      <c r="M213" s="148"/>
      <c r="N213" s="141">
        <f>IF($L$176="ON",IF(AND(G213&lt;=$C$12,F213&lt;=$C$9,H213&lt;=$C$10),G213/J213,"Restrict"),G213/J213)</f>
        <v>9.538461538461538</v>
      </c>
      <c r="O213" s="133">
        <f>IF($L$176="ON",IF(AND(G213&lt;=$C$12,F213&lt;=$C$9,H213&lt;=$C$10),I213/G213,"Restrict"),I213/G213)</f>
        <v>443.5483870967742</v>
      </c>
      <c r="R213" s="42">
        <f t="shared" si="18"/>
        <v>40003.18782222172</v>
      </c>
      <c r="S213" s="149">
        <f t="shared" si="17"/>
        <v>1465922778</v>
      </c>
      <c r="T213" s="149"/>
      <c r="U213" s="36">
        <f t="shared" si="19"/>
        <v>209</v>
      </c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3"/>
      <c r="CG213" s="3"/>
      <c r="CH213" s="3"/>
      <c r="CI213" s="3"/>
      <c r="CJ213" s="3"/>
      <c r="CK213" s="3"/>
      <c r="CL213" s="3"/>
      <c r="CM213" s="3"/>
      <c r="CN213" s="3"/>
      <c r="CO213" s="3"/>
    </row>
    <row r="214" spans="2:93" ht="15">
      <c r="B214" s="123"/>
      <c r="C214" s="124"/>
      <c r="D214" s="124"/>
      <c r="E214" s="125"/>
      <c r="F214" s="144"/>
      <c r="G214" s="144"/>
      <c r="H214" s="145"/>
      <c r="I214" s="146"/>
      <c r="J214" s="147"/>
      <c r="K214" s="145"/>
      <c r="L214" s="145"/>
      <c r="M214" s="148"/>
      <c r="N214" s="142"/>
      <c r="O214" s="143"/>
      <c r="R214" s="42">
        <f t="shared" si="18"/>
        <v>40003.229488888384</v>
      </c>
      <c r="S214" s="149">
        <f t="shared" si="17"/>
        <v>1472900178</v>
      </c>
      <c r="T214" s="149"/>
      <c r="U214" s="36">
        <f t="shared" si="19"/>
        <v>210</v>
      </c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2:93" ht="15">
      <c r="B215" s="123" t="s">
        <v>194</v>
      </c>
      <c r="C215" s="124"/>
      <c r="D215" s="124"/>
      <c r="E215" s="125"/>
      <c r="F215" s="129"/>
      <c r="G215" s="129">
        <v>142</v>
      </c>
      <c r="H215" s="131">
        <v>12</v>
      </c>
      <c r="I215" s="135">
        <v>69000</v>
      </c>
      <c r="J215" s="137">
        <v>14</v>
      </c>
      <c r="K215" s="131" t="s">
        <v>90</v>
      </c>
      <c r="L215" s="131"/>
      <c r="M215" s="139"/>
      <c r="N215" s="141">
        <f>IF($L$176="ON",IF(AND(G215&lt;=$C$12,F215&lt;=$C$9,H215&lt;=$C$10),G215/J215,"Restrict"),G215/J215)</f>
        <v>10.142857142857142</v>
      </c>
      <c r="O215" s="133">
        <f>IF($L$176="ON",IF(AND(G215&lt;=$C$12,F215&lt;=$C$9,H215&lt;=$C$10),I215/G215,"Restrict"),I215/G215)</f>
        <v>485.9154929577465</v>
      </c>
      <c r="R215" s="42">
        <f t="shared" si="18"/>
        <v>40003.27115555505</v>
      </c>
      <c r="S215" s="149">
        <f t="shared" si="17"/>
        <v>1479877578</v>
      </c>
      <c r="T215" s="149"/>
      <c r="U215" s="36">
        <f t="shared" si="19"/>
        <v>211</v>
      </c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2:93" ht="15">
      <c r="B216" s="123"/>
      <c r="C216" s="124"/>
      <c r="D216" s="124"/>
      <c r="E216" s="125"/>
      <c r="F216" s="129"/>
      <c r="G216" s="129"/>
      <c r="H216" s="131"/>
      <c r="I216" s="135"/>
      <c r="J216" s="137"/>
      <c r="K216" s="131"/>
      <c r="L216" s="131"/>
      <c r="M216" s="139"/>
      <c r="N216" s="142"/>
      <c r="O216" s="143"/>
      <c r="R216" s="42">
        <f t="shared" si="18"/>
        <v>40003.31282222171</v>
      </c>
      <c r="S216" s="149">
        <f t="shared" si="17"/>
        <v>1486854978</v>
      </c>
      <c r="T216" s="149"/>
      <c r="U216" s="36">
        <f t="shared" si="19"/>
        <v>212</v>
      </c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3"/>
      <c r="CG216" s="3"/>
      <c r="CH216" s="3"/>
      <c r="CI216" s="3"/>
      <c r="CJ216" s="3"/>
      <c r="CK216" s="3"/>
      <c r="CL216" s="3"/>
      <c r="CM216" s="3"/>
      <c r="CN216" s="3"/>
      <c r="CO216" s="3"/>
    </row>
    <row r="217" spans="2:93" ht="15">
      <c r="B217" s="123" t="s">
        <v>195</v>
      </c>
      <c r="C217" s="124"/>
      <c r="D217" s="124"/>
      <c r="E217" s="125"/>
      <c r="F217" s="144"/>
      <c r="G217" s="144">
        <v>178</v>
      </c>
      <c r="H217" s="145">
        <v>16</v>
      </c>
      <c r="I217" s="146">
        <v>102000</v>
      </c>
      <c r="J217" s="147">
        <v>18</v>
      </c>
      <c r="K217" s="145" t="s">
        <v>219</v>
      </c>
      <c r="L217" s="145"/>
      <c r="M217" s="148"/>
      <c r="N217" s="141">
        <f>IF($L$176="ON",IF(AND(G217&lt;=$C$12,F217&lt;=$C$9,H217&lt;=$C$10),G217/J217,"Restrict"),G217/J217)</f>
        <v>9.88888888888889</v>
      </c>
      <c r="O217" s="133">
        <f>IF($L$176="ON",IF(AND(G217&lt;=$C$12,F217&lt;=$C$9,H217&lt;=$C$10),I217/G217,"Restrict"),I217/G217)</f>
        <v>573.0337078651686</v>
      </c>
      <c r="R217" s="42">
        <f t="shared" si="18"/>
        <v>40003.35448888838</v>
      </c>
      <c r="S217" s="149">
        <f t="shared" si="17"/>
        <v>1493832378</v>
      </c>
      <c r="T217" s="149"/>
      <c r="U217" s="36">
        <f t="shared" si="19"/>
        <v>213</v>
      </c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3"/>
      <c r="CG217" s="3"/>
      <c r="CH217" s="3"/>
      <c r="CI217" s="3"/>
      <c r="CJ217" s="3"/>
      <c r="CK217" s="3"/>
      <c r="CL217" s="3"/>
      <c r="CM217" s="3"/>
      <c r="CN217" s="3"/>
      <c r="CO217" s="3"/>
    </row>
    <row r="218" spans="2:93" ht="15">
      <c r="B218" s="123"/>
      <c r="C218" s="124"/>
      <c r="D218" s="124"/>
      <c r="E218" s="125"/>
      <c r="F218" s="144"/>
      <c r="G218" s="144"/>
      <c r="H218" s="145"/>
      <c r="I218" s="146"/>
      <c r="J218" s="147"/>
      <c r="K218" s="145"/>
      <c r="L218" s="145"/>
      <c r="M218" s="148"/>
      <c r="N218" s="142"/>
      <c r="O218" s="143"/>
      <c r="R218" s="42">
        <f t="shared" si="18"/>
        <v>40003.39615555504</v>
      </c>
      <c r="S218" s="149">
        <f t="shared" si="17"/>
        <v>1500809778</v>
      </c>
      <c r="T218" s="149"/>
      <c r="U218" s="36">
        <f t="shared" si="19"/>
        <v>214</v>
      </c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3"/>
      <c r="CG218" s="3"/>
      <c r="CH218" s="3"/>
      <c r="CI218" s="3"/>
      <c r="CJ218" s="3"/>
      <c r="CK218" s="3"/>
      <c r="CL218" s="3"/>
      <c r="CM218" s="3"/>
      <c r="CN218" s="3"/>
      <c r="CO218" s="3"/>
    </row>
    <row r="219" spans="2:93" ht="15">
      <c r="B219" s="123" t="s">
        <v>223</v>
      </c>
      <c r="C219" s="124"/>
      <c r="D219" s="124"/>
      <c r="E219" s="125"/>
      <c r="F219" s="129">
        <v>22</v>
      </c>
      <c r="G219" s="129">
        <v>212</v>
      </c>
      <c r="H219" s="131">
        <v>21</v>
      </c>
      <c r="I219" s="135">
        <v>145000</v>
      </c>
      <c r="J219" s="137">
        <v>24</v>
      </c>
      <c r="K219" s="131" t="s">
        <v>219</v>
      </c>
      <c r="L219" s="131"/>
      <c r="M219" s="139"/>
      <c r="N219" s="141">
        <f>IF($L$176="ON",IF(AND(G219&lt;=$C$12,F219&lt;=$C$9,H219&lt;=$C$10),G219/J219,"Restrict"),G219/J219)</f>
        <v>8.833333333333334</v>
      </c>
      <c r="O219" s="133">
        <f>IF($L$176="ON",IF(AND(G219&lt;=$C$12,F219&lt;=$C$9,H219&lt;=$C$10),I219/G219,"Restrict"),I219/G219)</f>
        <v>683.9622641509434</v>
      </c>
      <c r="R219" s="42">
        <f t="shared" si="18"/>
        <v>40003.437822221706</v>
      </c>
      <c r="S219" s="149">
        <f t="shared" si="17"/>
        <v>1507787178</v>
      </c>
      <c r="T219" s="149"/>
      <c r="U219" s="36">
        <f t="shared" si="19"/>
        <v>215</v>
      </c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2:93" ht="15">
      <c r="B220" s="126"/>
      <c r="C220" s="127"/>
      <c r="D220" s="127"/>
      <c r="E220" s="128"/>
      <c r="F220" s="130"/>
      <c r="G220" s="130"/>
      <c r="H220" s="132"/>
      <c r="I220" s="136"/>
      <c r="J220" s="138"/>
      <c r="K220" s="132"/>
      <c r="L220" s="132"/>
      <c r="M220" s="140"/>
      <c r="N220" s="142"/>
      <c r="O220" s="143"/>
      <c r="R220" s="42">
        <f t="shared" si="18"/>
        <v>40003.47948888837</v>
      </c>
      <c r="S220" s="149">
        <f t="shared" si="17"/>
        <v>1514764578</v>
      </c>
      <c r="T220" s="149"/>
      <c r="U220" s="36">
        <f t="shared" si="19"/>
        <v>216</v>
      </c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3"/>
      <c r="CG220" s="3"/>
      <c r="CH220" s="3"/>
      <c r="CI220" s="3"/>
      <c r="CJ220" s="3"/>
      <c r="CK220" s="3"/>
      <c r="CL220" s="3"/>
      <c r="CM220" s="3"/>
      <c r="CN220" s="3"/>
      <c r="CO220" s="3"/>
    </row>
    <row r="221" spans="2:93" ht="18.75">
      <c r="B221" s="155" t="s">
        <v>187</v>
      </c>
      <c r="C221" s="156"/>
      <c r="D221" s="156"/>
      <c r="E221" s="157"/>
      <c r="F221" s="109" t="s">
        <v>171</v>
      </c>
      <c r="G221" s="78" t="s">
        <v>176</v>
      </c>
      <c r="H221" s="78" t="s">
        <v>177</v>
      </c>
      <c r="I221" s="78" t="s">
        <v>179</v>
      </c>
      <c r="J221" s="113" t="s">
        <v>175</v>
      </c>
      <c r="K221" s="158" t="s">
        <v>41</v>
      </c>
      <c r="L221" s="158"/>
      <c r="M221" s="158"/>
      <c r="N221" s="110" t="s">
        <v>175</v>
      </c>
      <c r="O221" s="111" t="s">
        <v>33</v>
      </c>
      <c r="R221" s="42">
        <f t="shared" si="18"/>
        <v>40003.521155555034</v>
      </c>
      <c r="S221" s="149">
        <f t="shared" si="17"/>
        <v>1521741978</v>
      </c>
      <c r="T221" s="149"/>
      <c r="U221" s="36">
        <f t="shared" si="19"/>
        <v>217</v>
      </c>
      <c r="V221" s="83" t="str">
        <f>IF($C$13=60,"9 Days","")</f>
        <v>9 Days</v>
      </c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3"/>
      <c r="CG221" s="3"/>
      <c r="CH221" s="3"/>
      <c r="CI221" s="3"/>
      <c r="CJ221" s="3"/>
      <c r="CK221" s="3"/>
      <c r="CL221" s="3"/>
      <c r="CM221" s="3"/>
      <c r="CN221" s="3"/>
      <c r="CO221" s="3"/>
    </row>
    <row r="222" spans="2:93" ht="15">
      <c r="B222" s="123" t="s">
        <v>196</v>
      </c>
      <c r="C222" s="124"/>
      <c r="D222" s="124"/>
      <c r="E222" s="125"/>
      <c r="F222" s="151"/>
      <c r="G222" s="151">
        <v>150</v>
      </c>
      <c r="H222" s="152">
        <v>14</v>
      </c>
      <c r="I222" s="153">
        <v>80000</v>
      </c>
      <c r="J222" s="154">
        <v>16</v>
      </c>
      <c r="K222" s="131" t="s">
        <v>90</v>
      </c>
      <c r="L222" s="131"/>
      <c r="M222" s="139"/>
      <c r="N222" s="141">
        <f>IF($L$176="ON",IF(AND(G222&lt;=$C$12,F222&lt;=$C$9,H222&lt;=$C$10),G222/J222,"Restrict"),G222/J222)</f>
        <v>9.375</v>
      </c>
      <c r="O222" s="133">
        <f>IF($L$176="ON",IF(AND(G222&lt;=$C$12,F222&lt;=$C$9,H222&lt;=$C$10),I222/G222,"Restrict"),I222/G222)</f>
        <v>533.3333333333334</v>
      </c>
      <c r="Q222" s="69"/>
      <c r="R222" s="42">
        <f t="shared" si="18"/>
        <v>40003.5628222217</v>
      </c>
      <c r="S222" s="149">
        <f t="shared" si="17"/>
        <v>1528719378</v>
      </c>
      <c r="T222" s="149"/>
      <c r="U222" s="36">
        <f t="shared" si="19"/>
        <v>218</v>
      </c>
      <c r="V222" s="6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3"/>
      <c r="CG222" s="3"/>
      <c r="CH222" s="3"/>
      <c r="CI222" s="3"/>
      <c r="CJ222" s="3"/>
      <c r="CK222" s="3"/>
      <c r="CL222" s="3"/>
      <c r="CM222" s="3"/>
      <c r="CN222" s="3"/>
      <c r="CO222" s="3"/>
    </row>
    <row r="223" spans="2:93" ht="15">
      <c r="B223" s="123"/>
      <c r="C223" s="124"/>
      <c r="D223" s="124"/>
      <c r="E223" s="125"/>
      <c r="F223" s="129"/>
      <c r="G223" s="129"/>
      <c r="H223" s="131"/>
      <c r="I223" s="135"/>
      <c r="J223" s="137"/>
      <c r="K223" s="131"/>
      <c r="L223" s="131"/>
      <c r="M223" s="139"/>
      <c r="N223" s="142"/>
      <c r="O223" s="143"/>
      <c r="Q223" s="69"/>
      <c r="R223" s="42">
        <f t="shared" si="18"/>
        <v>40003.60448888836</v>
      </c>
      <c r="S223" s="149">
        <f t="shared" si="17"/>
        <v>1535696778</v>
      </c>
      <c r="T223" s="149"/>
      <c r="U223" s="36">
        <f t="shared" si="19"/>
        <v>219</v>
      </c>
      <c r="V223" s="6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3"/>
      <c r="CG223" s="3"/>
      <c r="CH223" s="3"/>
      <c r="CI223" s="3"/>
      <c r="CJ223" s="3"/>
      <c r="CK223" s="3"/>
      <c r="CL223" s="3"/>
      <c r="CM223" s="3"/>
      <c r="CN223" s="3"/>
      <c r="CO223" s="3"/>
    </row>
    <row r="224" spans="2:93" ht="15">
      <c r="B224" s="123" t="s">
        <v>213</v>
      </c>
      <c r="C224" s="124"/>
      <c r="D224" s="124"/>
      <c r="E224" s="125"/>
      <c r="F224" s="144"/>
      <c r="G224" s="144">
        <v>276</v>
      </c>
      <c r="H224" s="145">
        <v>30</v>
      </c>
      <c r="I224" s="146">
        <v>246000</v>
      </c>
      <c r="J224" s="147">
        <v>28</v>
      </c>
      <c r="K224" s="145" t="s">
        <v>90</v>
      </c>
      <c r="L224" s="145"/>
      <c r="M224" s="148"/>
      <c r="N224" s="141">
        <f>IF($L$176="ON",IF(AND(G224&lt;=$C$12,F224&lt;=$C$9,H224&lt;=$C$10),G224/J224,"Restrict"),G224/J224)</f>
        <v>9.857142857142858</v>
      </c>
      <c r="O224" s="133">
        <f>IF($L$176="ON",IF(AND(G224&lt;=$C$12,F224&lt;=$C$9,H224&lt;=$C$10),I224/G224,"Restrict"),I224/G224)</f>
        <v>891.304347826087</v>
      </c>
      <c r="Q224" s="69"/>
      <c r="R224" s="42">
        <f t="shared" si="18"/>
        <v>40003.64615555503</v>
      </c>
      <c r="S224" s="149">
        <f t="shared" si="17"/>
        <v>1542674178</v>
      </c>
      <c r="T224" s="149"/>
      <c r="U224" s="36">
        <f t="shared" si="19"/>
        <v>220</v>
      </c>
      <c r="V224" s="6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3"/>
      <c r="CG224" s="3"/>
      <c r="CH224" s="3"/>
      <c r="CI224" s="3"/>
      <c r="CJ224" s="3"/>
      <c r="CK224" s="3"/>
      <c r="CL224" s="3"/>
      <c r="CM224" s="3"/>
      <c r="CN224" s="3"/>
      <c r="CO224" s="3"/>
    </row>
    <row r="225" spans="2:93" ht="15">
      <c r="B225" s="123"/>
      <c r="C225" s="124"/>
      <c r="D225" s="124"/>
      <c r="E225" s="125"/>
      <c r="F225" s="144"/>
      <c r="G225" s="144"/>
      <c r="H225" s="145"/>
      <c r="I225" s="146"/>
      <c r="J225" s="147"/>
      <c r="K225" s="145"/>
      <c r="L225" s="145"/>
      <c r="M225" s="148"/>
      <c r="N225" s="142"/>
      <c r="O225" s="143"/>
      <c r="Q225" s="69"/>
      <c r="R225" s="114">
        <f t="shared" si="18"/>
        <v>40003.68782222169</v>
      </c>
      <c r="S225" s="150">
        <f t="shared" si="17"/>
        <v>1549651578</v>
      </c>
      <c r="T225" s="150"/>
      <c r="U225" s="115">
        <f t="shared" si="19"/>
        <v>221</v>
      </c>
      <c r="V225" s="6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3"/>
      <c r="CG225" s="3"/>
      <c r="CH225" s="3"/>
      <c r="CI225" s="3"/>
      <c r="CJ225" s="3"/>
      <c r="CK225" s="3"/>
      <c r="CL225" s="3"/>
      <c r="CM225" s="3"/>
      <c r="CN225" s="3"/>
      <c r="CO225" s="3"/>
    </row>
    <row r="226" spans="2:93" ht="15">
      <c r="B226" s="123" t="s">
        <v>214</v>
      </c>
      <c r="C226" s="124"/>
      <c r="D226" s="124"/>
      <c r="E226" s="125"/>
      <c r="F226" s="129"/>
      <c r="G226" s="129">
        <v>318</v>
      </c>
      <c r="H226" s="131">
        <v>37</v>
      </c>
      <c r="I226" s="135">
        <v>307500</v>
      </c>
      <c r="J226" s="137">
        <v>37</v>
      </c>
      <c r="K226" s="131" t="s">
        <v>90</v>
      </c>
      <c r="L226" s="131"/>
      <c r="M226" s="139"/>
      <c r="N226" s="141">
        <f>IF($L$176="ON",IF(AND(G226&lt;=$C$12,F226&lt;=$C$9,H226&lt;=$C$10),G226/J226,"Restrict"),G226/J226)</f>
        <v>8.594594594594595</v>
      </c>
      <c r="O226" s="133">
        <f>IF($L$176="ON",IF(AND(G226&lt;=$C$12,F226&lt;=$C$9,H226&lt;=$C$10),I226/G226,"Restrict"),I226/G226)</f>
        <v>966.9811320754717</v>
      </c>
      <c r="Q226" s="69"/>
      <c r="T226" s="69"/>
      <c r="U226" s="69"/>
      <c r="V226" s="6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3"/>
      <c r="CG226" s="3"/>
      <c r="CH226" s="3"/>
      <c r="CI226" s="3"/>
      <c r="CJ226" s="3"/>
      <c r="CK226" s="3"/>
      <c r="CL226" s="3"/>
      <c r="CM226" s="3"/>
      <c r="CN226" s="3"/>
      <c r="CO226" s="3"/>
    </row>
    <row r="227" spans="2:93" ht="15">
      <c r="B227" s="123"/>
      <c r="C227" s="124"/>
      <c r="D227" s="124"/>
      <c r="E227" s="125"/>
      <c r="F227" s="129"/>
      <c r="G227" s="129"/>
      <c r="H227" s="131"/>
      <c r="I227" s="135"/>
      <c r="J227" s="137"/>
      <c r="K227" s="131"/>
      <c r="L227" s="131"/>
      <c r="M227" s="139"/>
      <c r="N227" s="142"/>
      <c r="O227" s="143"/>
      <c r="Q227" s="69"/>
      <c r="T227" s="69"/>
      <c r="U227" s="69"/>
      <c r="V227" s="6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3"/>
      <c r="CG227" s="3"/>
      <c r="CH227" s="3"/>
      <c r="CI227" s="3"/>
      <c r="CJ227" s="3"/>
      <c r="CK227" s="3"/>
      <c r="CL227" s="3"/>
      <c r="CM227" s="3"/>
      <c r="CN227" s="3"/>
      <c r="CO227" s="3"/>
    </row>
    <row r="228" spans="2:93" ht="15">
      <c r="B228" s="123" t="s">
        <v>215</v>
      </c>
      <c r="C228" s="124"/>
      <c r="D228" s="124"/>
      <c r="E228" s="125"/>
      <c r="F228" s="144"/>
      <c r="G228" s="144">
        <v>346</v>
      </c>
      <c r="H228" s="145">
        <v>42</v>
      </c>
      <c r="I228" s="146">
        <v>355000</v>
      </c>
      <c r="J228" s="147">
        <v>38</v>
      </c>
      <c r="K228" s="145" t="s">
        <v>90</v>
      </c>
      <c r="L228" s="145"/>
      <c r="M228" s="148"/>
      <c r="N228" s="141">
        <f>IF($L$176="ON",IF(AND(G228&lt;=$C$12,F228&lt;=$C$9,H228&lt;=$C$10),G228/J228,"Restrict"),G228/J228)</f>
        <v>9.105263157894736</v>
      </c>
      <c r="O228" s="133">
        <f>IF($L$176="ON",IF(AND(G228&lt;=$C$12,F228&lt;=$C$9,H228&lt;=$C$10),I228/G228,"Restrict"),I228/G228)</f>
        <v>1026.0115606936415</v>
      </c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3"/>
      <c r="CG228" s="3"/>
      <c r="CH228" s="3"/>
      <c r="CI228" s="3"/>
      <c r="CJ228" s="3"/>
      <c r="CK228" s="3"/>
      <c r="CL228" s="3"/>
      <c r="CM228" s="3"/>
      <c r="CN228" s="3"/>
      <c r="CO228" s="3"/>
    </row>
    <row r="229" spans="2:93" ht="15">
      <c r="B229" s="123"/>
      <c r="C229" s="124"/>
      <c r="D229" s="124"/>
      <c r="E229" s="125"/>
      <c r="F229" s="144"/>
      <c r="G229" s="144"/>
      <c r="H229" s="145"/>
      <c r="I229" s="146"/>
      <c r="J229" s="147"/>
      <c r="K229" s="145"/>
      <c r="L229" s="145"/>
      <c r="M229" s="148"/>
      <c r="N229" s="142"/>
      <c r="O229" s="143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3"/>
      <c r="CG229" s="3"/>
      <c r="CH229" s="3"/>
      <c r="CI229" s="3"/>
      <c r="CJ229" s="3"/>
      <c r="CK229" s="3"/>
      <c r="CL229" s="3"/>
      <c r="CM229" s="3"/>
      <c r="CN229" s="3"/>
      <c r="CO229" s="3"/>
    </row>
    <row r="230" spans="2:93" ht="15">
      <c r="B230" s="123" t="s">
        <v>216</v>
      </c>
      <c r="C230" s="124"/>
      <c r="D230" s="124"/>
      <c r="E230" s="125"/>
      <c r="F230" s="129"/>
      <c r="G230" s="129">
        <v>454</v>
      </c>
      <c r="H230" s="131">
        <v>70</v>
      </c>
      <c r="I230" s="135">
        <v>590000</v>
      </c>
      <c r="J230" s="137">
        <v>50</v>
      </c>
      <c r="K230" s="131" t="s">
        <v>90</v>
      </c>
      <c r="L230" s="131"/>
      <c r="M230" s="139"/>
      <c r="N230" s="141">
        <f>IF($L$176="ON",IF(AND(G230&lt;=$C$12,F230&lt;=$C$9,H230&lt;=$C$10),G230/J230,"Restrict"),G230/J230)</f>
        <v>9.08</v>
      </c>
      <c r="O230" s="133">
        <f>IF($L$176="ON",IF(AND(G230&lt;=$C$12,F230&lt;=$C$9,H230&lt;=$C$10),I230/G230,"Restrict"),I230/G230)</f>
        <v>1299.5594713656387</v>
      </c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2:93" ht="15.75" customHeight="1">
      <c r="B231" s="123"/>
      <c r="C231" s="124"/>
      <c r="D231" s="124"/>
      <c r="E231" s="125"/>
      <c r="F231" s="129"/>
      <c r="G231" s="129"/>
      <c r="H231" s="131"/>
      <c r="I231" s="135"/>
      <c r="J231" s="137"/>
      <c r="K231" s="131"/>
      <c r="L231" s="131"/>
      <c r="M231" s="139"/>
      <c r="N231" s="142"/>
      <c r="O231" s="143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2:93" ht="15">
      <c r="B232" s="123" t="s">
        <v>217</v>
      </c>
      <c r="C232" s="124"/>
      <c r="D232" s="124"/>
      <c r="E232" s="125"/>
      <c r="F232" s="144"/>
      <c r="G232" s="144">
        <v>478</v>
      </c>
      <c r="H232" s="145">
        <v>80</v>
      </c>
      <c r="I232" s="146">
        <v>660000</v>
      </c>
      <c r="J232" s="147">
        <v>52</v>
      </c>
      <c r="K232" s="145" t="s">
        <v>90</v>
      </c>
      <c r="L232" s="145"/>
      <c r="M232" s="148"/>
      <c r="N232" s="141">
        <f>IF($L$176="ON",IF(AND(G232&lt;=$C$12,F232&lt;=$C$9,H232&lt;=$C$10),G232/J232,"Restrict"),G232/J232)</f>
        <v>9.192307692307692</v>
      </c>
      <c r="O232" s="133">
        <f>IF($L$176="ON",IF(AND(G232&lt;=$C$12,F232&lt;=$C$9,H232&lt;=$C$10),I232/G232,"Restrict"),I232/G232)</f>
        <v>1380.7531380753137</v>
      </c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2:93" ht="15">
      <c r="B233" s="123"/>
      <c r="C233" s="124"/>
      <c r="D233" s="124"/>
      <c r="E233" s="125"/>
      <c r="F233" s="144"/>
      <c r="G233" s="144"/>
      <c r="H233" s="145"/>
      <c r="I233" s="146"/>
      <c r="J233" s="147"/>
      <c r="K233" s="145"/>
      <c r="L233" s="145"/>
      <c r="M233" s="148"/>
      <c r="N233" s="142"/>
      <c r="O233" s="143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2:93" ht="15">
      <c r="B234" s="123" t="s">
        <v>218</v>
      </c>
      <c r="C234" s="124"/>
      <c r="D234" s="124"/>
      <c r="E234" s="125"/>
      <c r="F234" s="129"/>
      <c r="G234" s="129">
        <v>508</v>
      </c>
      <c r="H234" s="131">
        <v>91</v>
      </c>
      <c r="I234" s="135">
        <v>745000</v>
      </c>
      <c r="J234" s="137">
        <v>53</v>
      </c>
      <c r="K234" s="131" t="s">
        <v>219</v>
      </c>
      <c r="L234" s="131"/>
      <c r="M234" s="139"/>
      <c r="N234" s="141">
        <f>IF($L$176="ON",IF(AND(G234&lt;=$C$12,F234&lt;=$C$9,H234&lt;=$C$10),G234/J234,"Restrict"),G234/J234)</f>
        <v>9.584905660377359</v>
      </c>
      <c r="O234" s="133">
        <f>IF($L$176="ON",IF(AND(G234&lt;=$C$12,F234&lt;=$C$9,H234&lt;=$C$10),I234/G234,"Restrict"),I234/G234)</f>
        <v>1466.5354330708662</v>
      </c>
      <c r="R234" s="122"/>
      <c r="S234" s="122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2:93" ht="15">
      <c r="B235" s="126"/>
      <c r="C235" s="127"/>
      <c r="D235" s="127"/>
      <c r="E235" s="128"/>
      <c r="F235" s="130"/>
      <c r="G235" s="130"/>
      <c r="H235" s="132"/>
      <c r="I235" s="136"/>
      <c r="J235" s="138"/>
      <c r="K235" s="132"/>
      <c r="L235" s="132"/>
      <c r="M235" s="140"/>
      <c r="N235" s="142"/>
      <c r="O235" s="134"/>
      <c r="Q235" s="69"/>
      <c r="R235" s="122"/>
      <c r="S235" s="122"/>
      <c r="T235" s="69"/>
      <c r="U235" s="69"/>
      <c r="V235" s="69"/>
      <c r="W235" s="6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7:93" ht="15">
      <c r="Q236" s="69"/>
      <c r="T236" s="69"/>
      <c r="U236" s="69"/>
      <c r="V236" s="69"/>
      <c r="W236" s="6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3"/>
      <c r="CG236" s="3"/>
      <c r="CH236" s="3"/>
      <c r="CI236" s="3"/>
      <c r="CJ236" s="3"/>
      <c r="CK236" s="3"/>
      <c r="CL236" s="3"/>
      <c r="CM236" s="3"/>
      <c r="CN236" s="3"/>
      <c r="CO236" s="3"/>
    </row>
    <row r="237" spans="17:93" ht="15">
      <c r="Q237" s="69"/>
      <c r="R237" s="69"/>
      <c r="S237" s="69"/>
      <c r="T237" s="69"/>
      <c r="U237" s="69"/>
      <c r="V237" s="69"/>
      <c r="W237" s="6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7:93" ht="15">
      <c r="Q238" s="69"/>
      <c r="R238" s="69"/>
      <c r="S238" s="69"/>
      <c r="T238" s="69"/>
      <c r="U238" s="69"/>
      <c r="V238" s="69"/>
      <c r="W238" s="6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7:93" ht="15">
      <c r="Q239" s="69"/>
      <c r="R239" s="69"/>
      <c r="S239" s="69"/>
      <c r="T239" s="69"/>
      <c r="U239" s="69"/>
      <c r="V239" s="69"/>
      <c r="W239" s="6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7:93" ht="15">
      <c r="Q240" s="69"/>
      <c r="R240" s="69"/>
      <c r="S240" s="69"/>
      <c r="T240" s="69"/>
      <c r="U240" s="69"/>
      <c r="V240" s="69"/>
      <c r="W240" s="6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3"/>
      <c r="CG240" s="3"/>
      <c r="CH240" s="3"/>
      <c r="CI240" s="3"/>
      <c r="CJ240" s="3"/>
      <c r="CK240" s="3"/>
      <c r="CL240" s="3"/>
      <c r="CM240" s="3"/>
      <c r="CN240" s="3"/>
      <c r="CO240" s="3"/>
    </row>
    <row r="241" spans="17:93" ht="15">
      <c r="Q241" s="69"/>
      <c r="R241" s="69"/>
      <c r="S241" s="69"/>
      <c r="T241" s="69"/>
      <c r="U241" s="69"/>
      <c r="V241" s="69"/>
      <c r="W241" s="6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3"/>
      <c r="CG241" s="3"/>
      <c r="CH241" s="3"/>
      <c r="CI241" s="3"/>
      <c r="CJ241" s="3"/>
      <c r="CK241" s="3"/>
      <c r="CL241" s="3"/>
      <c r="CM241" s="3"/>
      <c r="CN241" s="3"/>
      <c r="CO241" s="3"/>
    </row>
    <row r="242" spans="17:93" ht="15">
      <c r="Q242" s="69"/>
      <c r="R242" s="69"/>
      <c r="S242" s="69"/>
      <c r="T242" s="69"/>
      <c r="U242" s="69"/>
      <c r="V242" s="69"/>
      <c r="W242" s="6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7:93" ht="15">
      <c r="Q243" s="69"/>
      <c r="R243" s="69"/>
      <c r="S243" s="69"/>
      <c r="T243" s="69"/>
      <c r="U243" s="69"/>
      <c r="V243" s="69"/>
      <c r="W243" s="6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3"/>
      <c r="CG243" s="3"/>
      <c r="CH243" s="3"/>
      <c r="CI243" s="3"/>
      <c r="CJ243" s="3"/>
      <c r="CK243" s="3"/>
      <c r="CL243" s="3"/>
      <c r="CM243" s="3"/>
      <c r="CN243" s="3"/>
      <c r="CO243" s="3"/>
    </row>
    <row r="244" spans="17:93" ht="15">
      <c r="Q244" s="69"/>
      <c r="R244" s="69"/>
      <c r="S244" s="69"/>
      <c r="T244" s="69"/>
      <c r="U244" s="69"/>
      <c r="V244" s="69"/>
      <c r="W244" s="6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3"/>
      <c r="CG244" s="3"/>
      <c r="CH244" s="3"/>
      <c r="CI244" s="3"/>
      <c r="CJ244" s="3"/>
      <c r="CK244" s="3"/>
      <c r="CL244" s="3"/>
      <c r="CM244" s="3"/>
      <c r="CN244" s="3"/>
      <c r="CO244" s="3"/>
    </row>
    <row r="245" spans="17:93" ht="15.75" customHeight="1">
      <c r="Q245" s="69"/>
      <c r="R245" s="69"/>
      <c r="S245" s="69"/>
      <c r="T245" s="69"/>
      <c r="U245" s="69"/>
      <c r="V245" s="69"/>
      <c r="W245" s="6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7:93" ht="15">
      <c r="Q246" s="69"/>
      <c r="R246" s="69"/>
      <c r="S246" s="69"/>
      <c r="T246" s="69"/>
      <c r="U246" s="69"/>
      <c r="V246" s="69"/>
      <c r="W246" s="69"/>
      <c r="X246" s="6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6:93" ht="15">
      <c r="P247" s="69"/>
      <c r="Q247" s="69"/>
      <c r="R247" s="69"/>
      <c r="S247" s="69"/>
      <c r="T247" s="69"/>
      <c r="U247" s="69"/>
      <c r="V247" s="69"/>
      <c r="W247" s="69"/>
      <c r="X247" s="6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6:93" ht="15">
      <c r="P248" s="69"/>
      <c r="Q248" s="69"/>
      <c r="R248" s="69"/>
      <c r="S248" s="69"/>
      <c r="T248" s="69"/>
      <c r="U248" s="69"/>
      <c r="V248" s="69"/>
      <c r="W248" s="69"/>
      <c r="X248" s="6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3"/>
      <c r="CG248" s="3"/>
      <c r="CH248" s="3"/>
      <c r="CI248" s="3"/>
      <c r="CJ248" s="3"/>
      <c r="CK248" s="3"/>
      <c r="CL248" s="3"/>
      <c r="CM248" s="3"/>
      <c r="CN248" s="3"/>
      <c r="CO248" s="3"/>
    </row>
    <row r="249" spans="16:93" ht="15">
      <c r="P249" s="69"/>
      <c r="Q249" s="69"/>
      <c r="R249" s="69"/>
      <c r="S249" s="69"/>
      <c r="T249" s="69"/>
      <c r="U249" s="69"/>
      <c r="V249" s="69"/>
      <c r="W249" s="69"/>
      <c r="X249" s="6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3"/>
      <c r="CG249" s="3"/>
      <c r="CH249" s="3"/>
      <c r="CI249" s="3"/>
      <c r="CJ249" s="3"/>
      <c r="CK249" s="3"/>
      <c r="CL249" s="3"/>
      <c r="CM249" s="3"/>
      <c r="CN249" s="3"/>
      <c r="CO249" s="3"/>
    </row>
    <row r="250" spans="17:93" ht="15">
      <c r="Q250" s="69"/>
      <c r="R250" s="69"/>
      <c r="S250" s="69"/>
      <c r="T250" s="69"/>
      <c r="U250" s="69"/>
      <c r="V250" s="69"/>
      <c r="W250" s="69"/>
      <c r="X250" s="6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3"/>
      <c r="CG250" s="3"/>
      <c r="CH250" s="3"/>
      <c r="CI250" s="3"/>
      <c r="CJ250" s="3"/>
      <c r="CK250" s="3"/>
      <c r="CL250" s="3"/>
      <c r="CM250" s="3"/>
      <c r="CN250" s="3"/>
      <c r="CO250" s="3"/>
    </row>
    <row r="251" spans="17:93" ht="15">
      <c r="Q251" s="69"/>
      <c r="R251" s="69"/>
      <c r="S251" s="69"/>
      <c r="T251" s="69"/>
      <c r="U251" s="69"/>
      <c r="V251" s="69"/>
      <c r="W251" s="69"/>
      <c r="X251" s="6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3"/>
      <c r="CG251" s="3"/>
      <c r="CH251" s="3"/>
      <c r="CI251" s="3"/>
      <c r="CJ251" s="3"/>
      <c r="CK251" s="3"/>
      <c r="CL251" s="3"/>
      <c r="CM251" s="3"/>
      <c r="CN251" s="3"/>
      <c r="CO251" s="3"/>
    </row>
    <row r="252" spans="17:93" ht="15"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3"/>
      <c r="CG252" s="3"/>
      <c r="CH252" s="3"/>
      <c r="CI252" s="3"/>
      <c r="CJ252" s="3"/>
      <c r="CK252" s="3"/>
      <c r="CL252" s="3"/>
      <c r="CM252" s="3"/>
      <c r="CN252" s="3"/>
      <c r="CO252" s="3"/>
    </row>
    <row r="253" spans="17:93" ht="15"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3"/>
      <c r="CG253" s="3"/>
      <c r="CH253" s="3"/>
      <c r="CI253" s="3"/>
      <c r="CJ253" s="3"/>
      <c r="CK253" s="3"/>
      <c r="CL253" s="3"/>
      <c r="CM253" s="3"/>
      <c r="CN253" s="3"/>
      <c r="CO253" s="3"/>
    </row>
    <row r="254" spans="17:93" ht="15"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3"/>
      <c r="CG254" s="3"/>
      <c r="CH254" s="3"/>
      <c r="CI254" s="3"/>
      <c r="CJ254" s="3"/>
      <c r="CK254" s="3"/>
      <c r="CL254" s="3"/>
      <c r="CM254" s="3"/>
      <c r="CN254" s="3"/>
      <c r="CO254" s="3"/>
    </row>
    <row r="255" spans="17:93" ht="15"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3"/>
      <c r="CG255" s="3"/>
      <c r="CH255" s="3"/>
      <c r="CI255" s="3"/>
      <c r="CJ255" s="3"/>
      <c r="CK255" s="3"/>
      <c r="CL255" s="3"/>
      <c r="CM255" s="3"/>
      <c r="CN255" s="3"/>
      <c r="CO255" s="3"/>
    </row>
    <row r="256" spans="17:93" ht="15"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3"/>
      <c r="CG256" s="3"/>
      <c r="CH256" s="3"/>
      <c r="CI256" s="3"/>
      <c r="CJ256" s="3"/>
      <c r="CK256" s="3"/>
      <c r="CL256" s="3"/>
      <c r="CM256" s="3"/>
      <c r="CN256" s="3"/>
      <c r="CO256" s="3"/>
    </row>
    <row r="257" spans="17:93" ht="15"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3"/>
      <c r="CG257" s="3"/>
      <c r="CH257" s="3"/>
      <c r="CI257" s="3"/>
      <c r="CJ257" s="3"/>
      <c r="CK257" s="3"/>
      <c r="CL257" s="3"/>
      <c r="CM257" s="3"/>
      <c r="CN257" s="3"/>
      <c r="CO257" s="3"/>
    </row>
    <row r="258" spans="17:93" ht="15"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3"/>
      <c r="CG258" s="3"/>
      <c r="CH258" s="3"/>
      <c r="CI258" s="3"/>
      <c r="CJ258" s="3"/>
      <c r="CK258" s="3"/>
      <c r="CL258" s="3"/>
      <c r="CM258" s="3"/>
      <c r="CN258" s="3"/>
      <c r="CO258" s="3"/>
    </row>
    <row r="259" spans="17:93" ht="15.75" customHeight="1"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3"/>
      <c r="CG259" s="3"/>
      <c r="CH259" s="3"/>
      <c r="CI259" s="3"/>
      <c r="CJ259" s="3"/>
      <c r="CK259" s="3"/>
      <c r="CL259" s="3"/>
      <c r="CM259" s="3"/>
      <c r="CN259" s="3"/>
      <c r="CO259" s="3"/>
    </row>
    <row r="260" spans="17:93" ht="15"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3"/>
      <c r="CG260" s="3"/>
      <c r="CH260" s="3"/>
      <c r="CI260" s="3"/>
      <c r="CJ260" s="3"/>
      <c r="CK260" s="3"/>
      <c r="CL260" s="3"/>
      <c r="CM260" s="3"/>
      <c r="CN260" s="3"/>
      <c r="CO260" s="3"/>
    </row>
    <row r="261" spans="17:93" ht="15"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3"/>
      <c r="CG261" s="3"/>
      <c r="CH261" s="3"/>
      <c r="CI261" s="3"/>
      <c r="CJ261" s="3"/>
      <c r="CK261" s="3"/>
      <c r="CL261" s="3"/>
      <c r="CM261" s="3"/>
      <c r="CN261" s="3"/>
      <c r="CO261" s="3"/>
    </row>
    <row r="262" spans="17:93" ht="15"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3"/>
      <c r="CG262" s="3"/>
      <c r="CH262" s="3"/>
      <c r="CI262" s="3"/>
      <c r="CJ262" s="3"/>
      <c r="CK262" s="3"/>
      <c r="CL262" s="3"/>
      <c r="CM262" s="3"/>
      <c r="CN262" s="3"/>
      <c r="CO262" s="3"/>
    </row>
    <row r="263" spans="17:93" ht="15"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3"/>
      <c r="CG263" s="3"/>
      <c r="CH263" s="3"/>
      <c r="CI263" s="3"/>
      <c r="CJ263" s="3"/>
      <c r="CK263" s="3"/>
      <c r="CL263" s="3"/>
      <c r="CM263" s="3"/>
      <c r="CN263" s="3"/>
      <c r="CO263" s="3"/>
    </row>
    <row r="264" spans="17:93" ht="15"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3"/>
      <c r="CG264" s="3"/>
      <c r="CH264" s="3"/>
      <c r="CI264" s="3"/>
      <c r="CJ264" s="3"/>
      <c r="CK264" s="3"/>
      <c r="CL264" s="3"/>
      <c r="CM264" s="3"/>
      <c r="CN264" s="3"/>
      <c r="CO264" s="3"/>
    </row>
    <row r="265" spans="17:93" ht="15"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3"/>
      <c r="CG265" s="3"/>
      <c r="CH265" s="3"/>
      <c r="CI265" s="3"/>
      <c r="CJ265" s="3"/>
      <c r="CK265" s="3"/>
      <c r="CL265" s="3"/>
      <c r="CM265" s="3"/>
      <c r="CN265" s="3"/>
      <c r="CO265" s="3"/>
    </row>
    <row r="266" spans="17:93" ht="15"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3"/>
      <c r="CG266" s="3"/>
      <c r="CH266" s="3"/>
      <c r="CI266" s="3"/>
      <c r="CJ266" s="3"/>
      <c r="CK266" s="3"/>
      <c r="CL266" s="3"/>
      <c r="CM266" s="3"/>
      <c r="CN266" s="3"/>
      <c r="CO266" s="3"/>
    </row>
    <row r="267" spans="17:93" ht="15"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3"/>
      <c r="CG267" s="3"/>
      <c r="CH267" s="3"/>
      <c r="CI267" s="3"/>
      <c r="CJ267" s="3"/>
      <c r="CK267" s="3"/>
      <c r="CL267" s="3"/>
      <c r="CM267" s="3"/>
      <c r="CN267" s="3"/>
      <c r="CO267" s="3"/>
    </row>
    <row r="268" spans="17:93" ht="15"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3"/>
      <c r="CG268" s="3"/>
      <c r="CH268" s="3"/>
      <c r="CI268" s="3"/>
      <c r="CJ268" s="3"/>
      <c r="CK268" s="3"/>
      <c r="CL268" s="3"/>
      <c r="CM268" s="3"/>
      <c r="CN268" s="3"/>
      <c r="CO268" s="3"/>
    </row>
    <row r="269" spans="32:93" ht="15"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3"/>
      <c r="CG269" s="3"/>
      <c r="CH269" s="3"/>
      <c r="CI269" s="3"/>
      <c r="CJ269" s="3"/>
      <c r="CK269" s="3"/>
      <c r="CL269" s="3"/>
      <c r="CM269" s="3"/>
      <c r="CN269" s="3"/>
      <c r="CO269" s="3"/>
    </row>
    <row r="270" spans="32:93" ht="15"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3"/>
      <c r="CG270" s="3"/>
      <c r="CH270" s="3"/>
      <c r="CI270" s="3"/>
      <c r="CJ270" s="3"/>
      <c r="CK270" s="3"/>
      <c r="CL270" s="3"/>
      <c r="CM270" s="3"/>
      <c r="CN270" s="3"/>
      <c r="CO270" s="3"/>
    </row>
    <row r="271" spans="32:93" ht="15"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3"/>
      <c r="CG271" s="3"/>
      <c r="CH271" s="3"/>
      <c r="CI271" s="3"/>
      <c r="CJ271" s="3"/>
      <c r="CK271" s="3"/>
      <c r="CL271" s="3"/>
      <c r="CM271" s="3"/>
      <c r="CN271" s="3"/>
      <c r="CO271" s="3"/>
    </row>
    <row r="272" spans="32:93" ht="15"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3"/>
      <c r="CG272" s="3"/>
      <c r="CH272" s="3"/>
      <c r="CI272" s="3"/>
      <c r="CJ272" s="3"/>
      <c r="CK272" s="3"/>
      <c r="CL272" s="3"/>
      <c r="CM272" s="3"/>
      <c r="CN272" s="3"/>
      <c r="CO272" s="3"/>
    </row>
    <row r="273" spans="32:93" ht="15"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3"/>
      <c r="CG273" s="3"/>
      <c r="CH273" s="3"/>
      <c r="CI273" s="3"/>
      <c r="CJ273" s="3"/>
      <c r="CK273" s="3"/>
      <c r="CL273" s="3"/>
      <c r="CM273" s="3"/>
      <c r="CN273" s="3"/>
      <c r="CO273" s="3"/>
    </row>
    <row r="274" spans="32:93" ht="15"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3"/>
      <c r="CG274" s="3"/>
      <c r="CH274" s="3"/>
      <c r="CI274" s="3"/>
      <c r="CJ274" s="3"/>
      <c r="CK274" s="3"/>
      <c r="CL274" s="3"/>
      <c r="CM274" s="3"/>
      <c r="CN274" s="3"/>
      <c r="CO274" s="3"/>
    </row>
    <row r="275" spans="32:93" ht="15"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3"/>
      <c r="CG275" s="3"/>
      <c r="CH275" s="3"/>
      <c r="CI275" s="3"/>
      <c r="CJ275" s="3"/>
      <c r="CK275" s="3"/>
      <c r="CL275" s="3"/>
      <c r="CM275" s="3"/>
      <c r="CN275" s="3"/>
      <c r="CO275" s="3"/>
    </row>
    <row r="276" spans="32:93" ht="15"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3"/>
      <c r="CG276" s="3"/>
      <c r="CH276" s="3"/>
      <c r="CI276" s="3"/>
      <c r="CJ276" s="3"/>
      <c r="CK276" s="3"/>
      <c r="CL276" s="3"/>
      <c r="CM276" s="3"/>
      <c r="CN276" s="3"/>
      <c r="CO276" s="3"/>
    </row>
    <row r="277" spans="32:93" ht="15"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3"/>
      <c r="CG277" s="3"/>
      <c r="CH277" s="3"/>
      <c r="CI277" s="3"/>
      <c r="CJ277" s="3"/>
      <c r="CK277" s="3"/>
      <c r="CL277" s="3"/>
      <c r="CM277" s="3"/>
      <c r="CN277" s="3"/>
      <c r="CO277" s="3"/>
    </row>
    <row r="278" spans="32:93" ht="15"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3"/>
      <c r="CG278" s="3"/>
      <c r="CH278" s="3"/>
      <c r="CI278" s="3"/>
      <c r="CJ278" s="3"/>
      <c r="CK278" s="3"/>
      <c r="CL278" s="3"/>
      <c r="CM278" s="3"/>
      <c r="CN278" s="3"/>
      <c r="CO278" s="3"/>
    </row>
    <row r="279" spans="32:93" ht="15"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3"/>
      <c r="CG279" s="3"/>
      <c r="CH279" s="3"/>
      <c r="CI279" s="3"/>
      <c r="CJ279" s="3"/>
      <c r="CK279" s="3"/>
      <c r="CL279" s="3"/>
      <c r="CM279" s="3"/>
      <c r="CN279" s="3"/>
      <c r="CO279" s="3"/>
    </row>
    <row r="280" spans="21:93" ht="15"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3"/>
      <c r="CG280" s="3"/>
      <c r="CH280" s="3"/>
      <c r="CI280" s="3"/>
      <c r="CJ280" s="3"/>
      <c r="CK280" s="3"/>
      <c r="CL280" s="3"/>
      <c r="CM280" s="3"/>
      <c r="CN280" s="3"/>
      <c r="CO280" s="3"/>
    </row>
    <row r="281" spans="21:93" ht="15"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3"/>
      <c r="CG281" s="3"/>
      <c r="CH281" s="3"/>
      <c r="CI281" s="3"/>
      <c r="CJ281" s="3"/>
      <c r="CK281" s="3"/>
      <c r="CL281" s="3"/>
      <c r="CM281" s="3"/>
      <c r="CN281" s="3"/>
      <c r="CO281" s="3"/>
    </row>
    <row r="282" spans="21:93" ht="15"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3"/>
      <c r="CG282" s="3"/>
      <c r="CH282" s="3"/>
      <c r="CI282" s="3"/>
      <c r="CJ282" s="3"/>
      <c r="CK282" s="3"/>
      <c r="CL282" s="3"/>
      <c r="CM282" s="3"/>
      <c r="CN282" s="3"/>
      <c r="CO282" s="3"/>
    </row>
    <row r="283" spans="21:93" ht="15"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3"/>
      <c r="CG283" s="3"/>
      <c r="CH283" s="3"/>
      <c r="CI283" s="3"/>
      <c r="CJ283" s="3"/>
      <c r="CK283" s="3"/>
      <c r="CL283" s="3"/>
      <c r="CM283" s="3"/>
      <c r="CN283" s="3"/>
      <c r="CO283" s="3"/>
    </row>
    <row r="284" spans="21:93" ht="15"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3"/>
      <c r="CG284" s="3"/>
      <c r="CH284" s="3"/>
      <c r="CI284" s="3"/>
      <c r="CJ284" s="3"/>
      <c r="CK284" s="3"/>
      <c r="CL284" s="3"/>
      <c r="CM284" s="3"/>
      <c r="CN284" s="3"/>
      <c r="CO284" s="3"/>
    </row>
    <row r="285" spans="21:93" ht="15"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3"/>
      <c r="CG285" s="3"/>
      <c r="CH285" s="3"/>
      <c r="CI285" s="3"/>
      <c r="CJ285" s="3"/>
      <c r="CK285" s="3"/>
      <c r="CL285" s="3"/>
      <c r="CM285" s="3"/>
      <c r="CN285" s="3"/>
      <c r="CO285" s="3"/>
    </row>
    <row r="286" spans="21:93" ht="15"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3"/>
      <c r="CG286" s="3"/>
      <c r="CH286" s="3"/>
      <c r="CI286" s="3"/>
      <c r="CJ286" s="3"/>
      <c r="CK286" s="3"/>
      <c r="CL286" s="3"/>
      <c r="CM286" s="3"/>
      <c r="CN286" s="3"/>
      <c r="CO286" s="3"/>
    </row>
    <row r="287" spans="21:93" ht="15"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3"/>
      <c r="CG287" s="3"/>
      <c r="CH287" s="3"/>
      <c r="CI287" s="3"/>
      <c r="CJ287" s="3"/>
      <c r="CK287" s="3"/>
      <c r="CL287" s="3"/>
      <c r="CM287" s="3"/>
      <c r="CN287" s="3"/>
      <c r="CO287" s="3"/>
    </row>
    <row r="288" spans="21:93" ht="15"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3"/>
      <c r="CG288" s="3"/>
      <c r="CH288" s="3"/>
      <c r="CI288" s="3"/>
      <c r="CJ288" s="3"/>
      <c r="CK288" s="3"/>
      <c r="CL288" s="3"/>
      <c r="CM288" s="3"/>
      <c r="CN288" s="3"/>
      <c r="CO288" s="3"/>
    </row>
    <row r="289" spans="21:93" ht="15"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3"/>
      <c r="CG289" s="3"/>
      <c r="CH289" s="3"/>
      <c r="CI289" s="3"/>
      <c r="CJ289" s="3"/>
      <c r="CK289" s="3"/>
      <c r="CL289" s="3"/>
      <c r="CM289" s="3"/>
      <c r="CN289" s="3"/>
      <c r="CO289" s="3"/>
    </row>
    <row r="290" spans="21:93" ht="15"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3"/>
      <c r="CG290" s="3"/>
      <c r="CH290" s="3"/>
      <c r="CI290" s="3"/>
      <c r="CJ290" s="3"/>
      <c r="CK290" s="3"/>
      <c r="CL290" s="3"/>
      <c r="CM290" s="3"/>
      <c r="CN290" s="3"/>
      <c r="CO290" s="3"/>
    </row>
    <row r="291" spans="21:93" ht="15"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3"/>
      <c r="CG291" s="3"/>
      <c r="CH291" s="3"/>
      <c r="CI291" s="3"/>
      <c r="CJ291" s="3"/>
      <c r="CK291" s="3"/>
      <c r="CL291" s="3"/>
      <c r="CM291" s="3"/>
      <c r="CN291" s="3"/>
      <c r="CO291" s="3"/>
    </row>
    <row r="292" spans="21:93" ht="15"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3"/>
      <c r="CG292" s="3"/>
      <c r="CH292" s="3"/>
      <c r="CI292" s="3"/>
      <c r="CJ292" s="3"/>
      <c r="CK292" s="3"/>
      <c r="CL292" s="3"/>
      <c r="CM292" s="3"/>
      <c r="CN292" s="3"/>
      <c r="CO292" s="3"/>
    </row>
    <row r="293" spans="21:93" ht="15"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3"/>
      <c r="CG293" s="3"/>
      <c r="CH293" s="3"/>
      <c r="CI293" s="3"/>
      <c r="CJ293" s="3"/>
      <c r="CK293" s="3"/>
      <c r="CL293" s="3"/>
      <c r="CM293" s="3"/>
      <c r="CN293" s="3"/>
      <c r="CO293" s="3"/>
    </row>
    <row r="294" spans="21:93" ht="15"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3"/>
      <c r="CG294" s="3"/>
      <c r="CH294" s="3"/>
      <c r="CI294" s="3"/>
      <c r="CJ294" s="3"/>
      <c r="CK294" s="3"/>
      <c r="CL294" s="3"/>
      <c r="CM294" s="3"/>
      <c r="CN294" s="3"/>
      <c r="CO294" s="3"/>
    </row>
    <row r="295" spans="21:93" ht="15"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3"/>
      <c r="CG295" s="3"/>
      <c r="CH295" s="3"/>
      <c r="CI295" s="3"/>
      <c r="CJ295" s="3"/>
      <c r="CK295" s="3"/>
      <c r="CL295" s="3"/>
      <c r="CM295" s="3"/>
      <c r="CN295" s="3"/>
      <c r="CO295" s="3"/>
    </row>
    <row r="296" spans="21:93" ht="15"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3"/>
      <c r="CG296" s="3"/>
      <c r="CH296" s="3"/>
      <c r="CI296" s="3"/>
      <c r="CJ296" s="3"/>
      <c r="CK296" s="3"/>
      <c r="CL296" s="3"/>
      <c r="CM296" s="3"/>
      <c r="CN296" s="3"/>
      <c r="CO296" s="3"/>
    </row>
    <row r="297" spans="21:93" ht="15"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3"/>
      <c r="CG297" s="3"/>
      <c r="CH297" s="3"/>
      <c r="CI297" s="3"/>
      <c r="CJ297" s="3"/>
      <c r="CK297" s="3"/>
      <c r="CL297" s="3"/>
      <c r="CM297" s="3"/>
      <c r="CN297" s="3"/>
      <c r="CO297" s="3"/>
    </row>
    <row r="298" spans="21:93" ht="15"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3"/>
      <c r="CG298" s="3"/>
      <c r="CH298" s="3"/>
      <c r="CI298" s="3"/>
      <c r="CJ298" s="3"/>
      <c r="CK298" s="3"/>
      <c r="CL298" s="3"/>
      <c r="CM298" s="3"/>
      <c r="CN298" s="3"/>
      <c r="CO298" s="3"/>
    </row>
    <row r="299" spans="21:93" ht="15"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3"/>
      <c r="CG299" s="3"/>
      <c r="CH299" s="3"/>
      <c r="CI299" s="3"/>
      <c r="CJ299" s="3"/>
      <c r="CK299" s="3"/>
      <c r="CL299" s="3"/>
      <c r="CM299" s="3"/>
      <c r="CN299" s="3"/>
      <c r="CO299" s="3"/>
    </row>
    <row r="300" spans="21:93" ht="15"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3"/>
      <c r="CG300" s="3"/>
      <c r="CH300" s="3"/>
      <c r="CI300" s="3"/>
      <c r="CJ300" s="3"/>
      <c r="CK300" s="3"/>
      <c r="CL300" s="3"/>
      <c r="CM300" s="3"/>
      <c r="CN300" s="3"/>
      <c r="CO300" s="3"/>
    </row>
    <row r="301" spans="21:93" ht="15"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3"/>
      <c r="CG301" s="3"/>
      <c r="CH301" s="3"/>
      <c r="CI301" s="3"/>
      <c r="CJ301" s="3"/>
      <c r="CK301" s="3"/>
      <c r="CL301" s="3"/>
      <c r="CM301" s="3"/>
      <c r="CN301" s="3"/>
      <c r="CO301" s="3"/>
    </row>
    <row r="302" spans="21:93" ht="15"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3"/>
      <c r="CG302" s="3"/>
      <c r="CH302" s="3"/>
      <c r="CI302" s="3"/>
      <c r="CJ302" s="3"/>
      <c r="CK302" s="3"/>
      <c r="CL302" s="3"/>
      <c r="CM302" s="3"/>
      <c r="CN302" s="3"/>
      <c r="CO302" s="3"/>
    </row>
    <row r="303" spans="21:93" ht="15"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3"/>
      <c r="CG303" s="3"/>
      <c r="CH303" s="3"/>
      <c r="CI303" s="3"/>
      <c r="CJ303" s="3"/>
      <c r="CK303" s="3"/>
      <c r="CL303" s="3"/>
      <c r="CM303" s="3"/>
      <c r="CN303" s="3"/>
      <c r="CO303" s="3"/>
    </row>
    <row r="304" spans="21:93" ht="15"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3"/>
      <c r="CG304" s="3"/>
      <c r="CH304" s="3"/>
      <c r="CI304" s="3"/>
      <c r="CJ304" s="3"/>
      <c r="CK304" s="3"/>
      <c r="CL304" s="3"/>
      <c r="CM304" s="3"/>
      <c r="CN304" s="3"/>
      <c r="CO304" s="3"/>
    </row>
    <row r="305" spans="21:93" ht="15"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3"/>
      <c r="CG305" s="3"/>
      <c r="CH305" s="3"/>
      <c r="CI305" s="3"/>
      <c r="CJ305" s="3"/>
      <c r="CK305" s="3"/>
      <c r="CL305" s="3"/>
      <c r="CM305" s="3"/>
      <c r="CN305" s="3"/>
      <c r="CO305" s="3"/>
    </row>
    <row r="306" spans="21:93" ht="15"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3"/>
      <c r="CG306" s="3"/>
      <c r="CH306" s="3"/>
      <c r="CI306" s="3"/>
      <c r="CJ306" s="3"/>
      <c r="CK306" s="3"/>
      <c r="CL306" s="3"/>
      <c r="CM306" s="3"/>
      <c r="CN306" s="3"/>
      <c r="CO306" s="3"/>
    </row>
    <row r="307" spans="21:93" ht="15"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3"/>
      <c r="CG307" s="3"/>
      <c r="CH307" s="3"/>
      <c r="CI307" s="3"/>
      <c r="CJ307" s="3"/>
      <c r="CK307" s="3"/>
      <c r="CL307" s="3"/>
      <c r="CM307" s="3"/>
      <c r="CN307" s="3"/>
      <c r="CO307" s="3"/>
    </row>
    <row r="308" spans="21:93" ht="15"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3"/>
      <c r="CG308" s="3"/>
      <c r="CH308" s="3"/>
      <c r="CI308" s="3"/>
      <c r="CJ308" s="3"/>
      <c r="CK308" s="3"/>
      <c r="CL308" s="3"/>
      <c r="CM308" s="3"/>
      <c r="CN308" s="3"/>
      <c r="CO308" s="3"/>
    </row>
    <row r="309" spans="21:93" ht="15"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3"/>
      <c r="CG309" s="3"/>
      <c r="CH309" s="3"/>
      <c r="CI309" s="3"/>
      <c r="CJ309" s="3"/>
      <c r="CK309" s="3"/>
      <c r="CL309" s="3"/>
      <c r="CM309" s="3"/>
      <c r="CN309" s="3"/>
      <c r="CO309" s="3"/>
    </row>
    <row r="310" spans="21:93" ht="15"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3"/>
      <c r="CG310" s="3"/>
      <c r="CH310" s="3"/>
      <c r="CI310" s="3"/>
      <c r="CJ310" s="3"/>
      <c r="CK310" s="3"/>
      <c r="CL310" s="3"/>
      <c r="CM310" s="3"/>
      <c r="CN310" s="3"/>
      <c r="CO310" s="3"/>
    </row>
    <row r="311" spans="21:93" ht="15"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3"/>
      <c r="CG311" s="3"/>
      <c r="CH311" s="3"/>
      <c r="CI311" s="3"/>
      <c r="CJ311" s="3"/>
      <c r="CK311" s="3"/>
      <c r="CL311" s="3"/>
      <c r="CM311" s="3"/>
      <c r="CN311" s="3"/>
      <c r="CO311" s="3"/>
    </row>
    <row r="312" spans="21:93" ht="15"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3"/>
      <c r="CG312" s="3"/>
      <c r="CH312" s="3"/>
      <c r="CI312" s="3"/>
      <c r="CJ312" s="3"/>
      <c r="CK312" s="3"/>
      <c r="CL312" s="3"/>
      <c r="CM312" s="3"/>
      <c r="CN312" s="3"/>
      <c r="CO312" s="3"/>
    </row>
    <row r="313" spans="21:93" ht="15"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3"/>
      <c r="CG313" s="3"/>
      <c r="CH313" s="3"/>
      <c r="CI313" s="3"/>
      <c r="CJ313" s="3"/>
      <c r="CK313" s="3"/>
      <c r="CL313" s="3"/>
      <c r="CM313" s="3"/>
      <c r="CN313" s="3"/>
      <c r="CO313" s="3"/>
    </row>
    <row r="314" spans="21:93" ht="15"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3"/>
      <c r="CG314" s="3"/>
      <c r="CH314" s="3"/>
      <c r="CI314" s="3"/>
      <c r="CJ314" s="3"/>
      <c r="CK314" s="3"/>
      <c r="CL314" s="3"/>
      <c r="CM314" s="3"/>
      <c r="CN314" s="3"/>
      <c r="CO314" s="3"/>
    </row>
    <row r="315" spans="21:93" ht="15"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3"/>
      <c r="CG315" s="3"/>
      <c r="CH315" s="3"/>
      <c r="CI315" s="3"/>
      <c r="CJ315" s="3"/>
      <c r="CK315" s="3"/>
      <c r="CL315" s="3"/>
      <c r="CM315" s="3"/>
      <c r="CN315" s="3"/>
      <c r="CO315" s="3"/>
    </row>
    <row r="316" spans="21:93" ht="15"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3"/>
      <c r="CG316" s="3"/>
      <c r="CH316" s="3"/>
      <c r="CI316" s="3"/>
      <c r="CJ316" s="3"/>
      <c r="CK316" s="3"/>
      <c r="CL316" s="3"/>
      <c r="CM316" s="3"/>
      <c r="CN316" s="3"/>
      <c r="CO316" s="3"/>
    </row>
    <row r="317" spans="21:93" ht="15"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3"/>
      <c r="CG317" s="3"/>
      <c r="CH317" s="3"/>
      <c r="CI317" s="3"/>
      <c r="CJ317" s="3"/>
      <c r="CK317" s="3"/>
      <c r="CL317" s="3"/>
      <c r="CM317" s="3"/>
      <c r="CN317" s="3"/>
      <c r="CO317" s="3"/>
    </row>
    <row r="318" spans="21:93" ht="15"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3"/>
      <c r="CG318" s="3"/>
      <c r="CH318" s="3"/>
      <c r="CI318" s="3"/>
      <c r="CJ318" s="3"/>
      <c r="CK318" s="3"/>
      <c r="CL318" s="3"/>
      <c r="CM318" s="3"/>
      <c r="CN318" s="3"/>
      <c r="CO318" s="3"/>
    </row>
    <row r="319" spans="21:93" ht="15"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3"/>
      <c r="CG319" s="3"/>
      <c r="CH319" s="3"/>
      <c r="CI319" s="3"/>
      <c r="CJ319" s="3"/>
      <c r="CK319" s="3"/>
      <c r="CL319" s="3"/>
      <c r="CM319" s="3"/>
      <c r="CN319" s="3"/>
      <c r="CO319" s="3"/>
    </row>
    <row r="320" spans="21:93" ht="15"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3"/>
      <c r="CG320" s="3"/>
      <c r="CH320" s="3"/>
      <c r="CI320" s="3"/>
      <c r="CJ320" s="3"/>
      <c r="CK320" s="3"/>
      <c r="CL320" s="3"/>
      <c r="CM320" s="3"/>
      <c r="CN320" s="3"/>
      <c r="CO320" s="3"/>
    </row>
    <row r="321" spans="21:93" ht="15"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3"/>
      <c r="CG321" s="3"/>
      <c r="CH321" s="3"/>
      <c r="CI321" s="3"/>
      <c r="CJ321" s="3"/>
      <c r="CK321" s="3"/>
      <c r="CL321" s="3"/>
      <c r="CM321" s="3"/>
      <c r="CN321" s="3"/>
      <c r="CO321" s="3"/>
    </row>
    <row r="322" spans="21:93" ht="15"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3"/>
      <c r="CG322" s="3"/>
      <c r="CH322" s="3"/>
      <c r="CI322" s="3"/>
      <c r="CJ322" s="3"/>
      <c r="CK322" s="3"/>
      <c r="CL322" s="3"/>
      <c r="CM322" s="3"/>
      <c r="CN322" s="3"/>
      <c r="CO322" s="3"/>
    </row>
    <row r="323" spans="21:93" ht="15"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3"/>
      <c r="CG323" s="3"/>
      <c r="CH323" s="3"/>
      <c r="CI323" s="3"/>
      <c r="CJ323" s="3"/>
      <c r="CK323" s="3"/>
      <c r="CL323" s="3"/>
      <c r="CM323" s="3"/>
      <c r="CN323" s="3"/>
      <c r="CO323" s="3"/>
    </row>
    <row r="324" spans="21:93" ht="15"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3"/>
      <c r="CG324" s="3"/>
      <c r="CH324" s="3"/>
      <c r="CI324" s="3"/>
      <c r="CJ324" s="3"/>
      <c r="CK324" s="3"/>
      <c r="CL324" s="3"/>
      <c r="CM324" s="3"/>
      <c r="CN324" s="3"/>
      <c r="CO324" s="3"/>
    </row>
    <row r="325" spans="21:93" ht="15"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3"/>
      <c r="CG325" s="3"/>
      <c r="CH325" s="3"/>
      <c r="CI325" s="3"/>
      <c r="CJ325" s="3"/>
      <c r="CK325" s="3"/>
      <c r="CL325" s="3"/>
      <c r="CM325" s="3"/>
      <c r="CN325" s="3"/>
      <c r="CO325" s="3"/>
    </row>
    <row r="326" spans="21:93" ht="15"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3"/>
      <c r="CG326" s="3"/>
      <c r="CH326" s="3"/>
      <c r="CI326" s="3"/>
      <c r="CJ326" s="3"/>
      <c r="CK326" s="3"/>
      <c r="CL326" s="3"/>
      <c r="CM326" s="3"/>
      <c r="CN326" s="3"/>
      <c r="CO326" s="3"/>
    </row>
    <row r="327" spans="21:93" ht="15"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3"/>
      <c r="CG327" s="3"/>
      <c r="CH327" s="3"/>
      <c r="CI327" s="3"/>
      <c r="CJ327" s="3"/>
      <c r="CK327" s="3"/>
      <c r="CL327" s="3"/>
      <c r="CM327" s="3"/>
      <c r="CN327" s="3"/>
      <c r="CO327" s="3"/>
    </row>
    <row r="328" spans="21:93" ht="15"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3"/>
      <c r="CG328" s="3"/>
      <c r="CH328" s="3"/>
      <c r="CI328" s="3"/>
      <c r="CJ328" s="3"/>
      <c r="CK328" s="3"/>
      <c r="CL328" s="3"/>
      <c r="CM328" s="3"/>
      <c r="CN328" s="3"/>
      <c r="CO328" s="3"/>
    </row>
    <row r="329" spans="21:93" ht="15"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3"/>
      <c r="CG329" s="3"/>
      <c r="CH329" s="3"/>
      <c r="CI329" s="3"/>
      <c r="CJ329" s="3"/>
      <c r="CK329" s="3"/>
      <c r="CL329" s="3"/>
      <c r="CM329" s="3"/>
      <c r="CN329" s="3"/>
      <c r="CO329" s="3"/>
    </row>
    <row r="330" spans="21:93" ht="15"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3"/>
      <c r="CG330" s="3"/>
      <c r="CH330" s="3"/>
      <c r="CI330" s="3"/>
      <c r="CJ330" s="3"/>
      <c r="CK330" s="3"/>
      <c r="CL330" s="3"/>
      <c r="CM330" s="3"/>
      <c r="CN330" s="3"/>
      <c r="CO330" s="3"/>
    </row>
    <row r="331" spans="21:93" ht="15"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3"/>
      <c r="CG331" s="3"/>
      <c r="CH331" s="3"/>
      <c r="CI331" s="3"/>
      <c r="CJ331" s="3"/>
      <c r="CK331" s="3"/>
      <c r="CL331" s="3"/>
      <c r="CM331" s="3"/>
      <c r="CN331" s="3"/>
      <c r="CO331" s="3"/>
    </row>
    <row r="332" spans="21:93" ht="15"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3"/>
      <c r="CG332" s="3"/>
      <c r="CH332" s="3"/>
      <c r="CI332" s="3"/>
      <c r="CJ332" s="3"/>
      <c r="CK332" s="3"/>
      <c r="CL332" s="3"/>
      <c r="CM332" s="3"/>
      <c r="CN332" s="3"/>
      <c r="CO332" s="3"/>
    </row>
    <row r="333" spans="21:93" ht="15"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3"/>
      <c r="CG333" s="3"/>
      <c r="CH333" s="3"/>
      <c r="CI333" s="3"/>
      <c r="CJ333" s="3"/>
      <c r="CK333" s="3"/>
      <c r="CL333" s="3"/>
      <c r="CM333" s="3"/>
      <c r="CN333" s="3"/>
      <c r="CO333" s="3"/>
    </row>
    <row r="334" spans="21:93" ht="15"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3"/>
      <c r="CG334" s="3"/>
      <c r="CH334" s="3"/>
      <c r="CI334" s="3"/>
      <c r="CJ334" s="3"/>
      <c r="CK334" s="3"/>
      <c r="CL334" s="3"/>
      <c r="CM334" s="3"/>
      <c r="CN334" s="3"/>
      <c r="CO334" s="3"/>
    </row>
    <row r="335" spans="21:93" ht="15"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3"/>
      <c r="CG335" s="3"/>
      <c r="CH335" s="3"/>
      <c r="CI335" s="3"/>
      <c r="CJ335" s="3"/>
      <c r="CK335" s="3"/>
      <c r="CL335" s="3"/>
      <c r="CM335" s="3"/>
      <c r="CN335" s="3"/>
      <c r="CO335" s="3"/>
    </row>
    <row r="336" spans="21:93" ht="15"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3"/>
      <c r="CG336" s="3"/>
      <c r="CH336" s="3"/>
      <c r="CI336" s="3"/>
      <c r="CJ336" s="3"/>
      <c r="CK336" s="3"/>
      <c r="CL336" s="3"/>
      <c r="CM336" s="3"/>
      <c r="CN336" s="3"/>
      <c r="CO336" s="3"/>
    </row>
    <row r="337" spans="21:93" ht="15"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3"/>
      <c r="CG337" s="3"/>
      <c r="CH337" s="3"/>
      <c r="CI337" s="3"/>
      <c r="CJ337" s="3"/>
      <c r="CK337" s="3"/>
      <c r="CL337" s="3"/>
      <c r="CM337" s="3"/>
      <c r="CN337" s="3"/>
      <c r="CO337" s="3"/>
    </row>
    <row r="338" spans="21:93" ht="15"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3"/>
      <c r="CG338" s="3"/>
      <c r="CH338" s="3"/>
      <c r="CI338" s="3"/>
      <c r="CJ338" s="3"/>
      <c r="CK338" s="3"/>
      <c r="CL338" s="3"/>
      <c r="CM338" s="3"/>
      <c r="CN338" s="3"/>
      <c r="CO338" s="3"/>
    </row>
    <row r="339" spans="21:93" ht="15"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3"/>
      <c r="CG339" s="3"/>
      <c r="CH339" s="3"/>
      <c r="CI339" s="3"/>
      <c r="CJ339" s="3"/>
      <c r="CK339" s="3"/>
      <c r="CL339" s="3"/>
      <c r="CM339" s="3"/>
      <c r="CN339" s="3"/>
      <c r="CO339" s="3"/>
    </row>
    <row r="340" spans="21:93" ht="15"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3"/>
      <c r="CG340" s="3"/>
      <c r="CH340" s="3"/>
      <c r="CI340" s="3"/>
      <c r="CJ340" s="3"/>
      <c r="CK340" s="3"/>
      <c r="CL340" s="3"/>
      <c r="CM340" s="3"/>
      <c r="CN340" s="3"/>
      <c r="CO340" s="3"/>
    </row>
    <row r="341" spans="21:93" ht="15"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3"/>
      <c r="CG341" s="3"/>
      <c r="CH341" s="3"/>
      <c r="CI341" s="3"/>
      <c r="CJ341" s="3"/>
      <c r="CK341" s="3"/>
      <c r="CL341" s="3"/>
      <c r="CM341" s="3"/>
      <c r="CN341" s="3"/>
      <c r="CO341" s="3"/>
    </row>
    <row r="342" spans="21:93" ht="15"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3"/>
      <c r="CG342" s="3"/>
      <c r="CH342" s="3"/>
      <c r="CI342" s="3"/>
      <c r="CJ342" s="3"/>
      <c r="CK342" s="3"/>
      <c r="CL342" s="3"/>
      <c r="CM342" s="3"/>
      <c r="CN342" s="3"/>
      <c r="CO342" s="3"/>
    </row>
    <row r="343" spans="21:93" ht="15"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3"/>
      <c r="CG343" s="3"/>
      <c r="CH343" s="3"/>
      <c r="CI343" s="3"/>
      <c r="CJ343" s="3"/>
      <c r="CK343" s="3"/>
      <c r="CL343" s="3"/>
      <c r="CM343" s="3"/>
      <c r="CN343" s="3"/>
      <c r="CO343" s="3"/>
    </row>
    <row r="344" spans="21:93" ht="15"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3"/>
      <c r="CG344" s="3"/>
      <c r="CH344" s="3"/>
      <c r="CI344" s="3"/>
      <c r="CJ344" s="3"/>
      <c r="CK344" s="3"/>
      <c r="CL344" s="3"/>
      <c r="CM344" s="3"/>
      <c r="CN344" s="3"/>
      <c r="CO344" s="3"/>
    </row>
    <row r="345" spans="21:93" ht="15"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3"/>
      <c r="CG345" s="3"/>
      <c r="CH345" s="3"/>
      <c r="CI345" s="3"/>
      <c r="CJ345" s="3"/>
      <c r="CK345" s="3"/>
      <c r="CL345" s="3"/>
      <c r="CM345" s="3"/>
      <c r="CN345" s="3"/>
      <c r="CO345" s="3"/>
    </row>
    <row r="346" spans="21:93" ht="15"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3"/>
      <c r="CG346" s="3"/>
      <c r="CH346" s="3"/>
      <c r="CI346" s="3"/>
      <c r="CJ346" s="3"/>
      <c r="CK346" s="3"/>
      <c r="CL346" s="3"/>
      <c r="CM346" s="3"/>
      <c r="CN346" s="3"/>
      <c r="CO346" s="3"/>
    </row>
    <row r="347" spans="21:93" ht="15"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3"/>
      <c r="CG347" s="3"/>
      <c r="CH347" s="3"/>
      <c r="CI347" s="3"/>
      <c r="CJ347" s="3"/>
      <c r="CK347" s="3"/>
      <c r="CL347" s="3"/>
      <c r="CM347" s="3"/>
      <c r="CN347" s="3"/>
      <c r="CO347" s="3"/>
    </row>
    <row r="348" spans="21:93" ht="15"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3"/>
      <c r="CG348" s="3"/>
      <c r="CH348" s="3"/>
      <c r="CI348" s="3"/>
      <c r="CJ348" s="3"/>
      <c r="CK348" s="3"/>
      <c r="CL348" s="3"/>
      <c r="CM348" s="3"/>
      <c r="CN348" s="3"/>
      <c r="CO348" s="3"/>
    </row>
    <row r="349" spans="21:93" ht="15"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3"/>
      <c r="CG349" s="3"/>
      <c r="CH349" s="3"/>
      <c r="CI349" s="3"/>
      <c r="CJ349" s="3"/>
      <c r="CK349" s="3"/>
      <c r="CL349" s="3"/>
      <c r="CM349" s="3"/>
      <c r="CN349" s="3"/>
      <c r="CO349" s="3"/>
    </row>
    <row r="350" spans="21:93" ht="15"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3"/>
      <c r="CG350" s="3"/>
      <c r="CH350" s="3"/>
      <c r="CI350" s="3"/>
      <c r="CJ350" s="3"/>
      <c r="CK350" s="3"/>
      <c r="CL350" s="3"/>
      <c r="CM350" s="3"/>
      <c r="CN350" s="3"/>
      <c r="CO350" s="3"/>
    </row>
    <row r="351" spans="21:93" ht="15"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3"/>
      <c r="CG351" s="3"/>
      <c r="CH351" s="3"/>
      <c r="CI351" s="3"/>
      <c r="CJ351" s="3"/>
      <c r="CK351" s="3"/>
      <c r="CL351" s="3"/>
      <c r="CM351" s="3"/>
      <c r="CN351" s="3"/>
      <c r="CO351" s="3"/>
    </row>
    <row r="352" spans="21:93" ht="15"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3"/>
      <c r="CG352" s="3"/>
      <c r="CH352" s="3"/>
      <c r="CI352" s="3"/>
      <c r="CJ352" s="3"/>
      <c r="CK352" s="3"/>
      <c r="CL352" s="3"/>
      <c r="CM352" s="3"/>
      <c r="CN352" s="3"/>
      <c r="CO352" s="3"/>
    </row>
    <row r="353" spans="21:93" ht="15"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3"/>
      <c r="CG353" s="3"/>
      <c r="CH353" s="3"/>
      <c r="CI353" s="3"/>
      <c r="CJ353" s="3"/>
      <c r="CK353" s="3"/>
      <c r="CL353" s="3"/>
      <c r="CM353" s="3"/>
      <c r="CN353" s="3"/>
      <c r="CO353" s="3"/>
    </row>
    <row r="354" spans="21:93" ht="15"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3"/>
      <c r="CG354" s="3"/>
      <c r="CH354" s="3"/>
      <c r="CI354" s="3"/>
      <c r="CJ354" s="3"/>
      <c r="CK354" s="3"/>
      <c r="CL354" s="3"/>
      <c r="CM354" s="3"/>
      <c r="CN354" s="3"/>
      <c r="CO354" s="3"/>
    </row>
    <row r="355" spans="21:93" ht="15"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3"/>
      <c r="CG355" s="3"/>
      <c r="CH355" s="3"/>
      <c r="CI355" s="3"/>
      <c r="CJ355" s="3"/>
      <c r="CK355" s="3"/>
      <c r="CL355" s="3"/>
      <c r="CM355" s="3"/>
      <c r="CN355" s="3"/>
      <c r="CO355" s="3"/>
    </row>
    <row r="356" spans="21:93" ht="15"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3"/>
      <c r="CG356" s="3"/>
      <c r="CH356" s="3"/>
      <c r="CI356" s="3"/>
      <c r="CJ356" s="3"/>
      <c r="CK356" s="3"/>
      <c r="CL356" s="3"/>
      <c r="CM356" s="3"/>
      <c r="CN356" s="3"/>
      <c r="CO356" s="3"/>
    </row>
    <row r="357" spans="21:93" ht="15"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3"/>
      <c r="CG357" s="3"/>
      <c r="CH357" s="3"/>
      <c r="CI357" s="3"/>
      <c r="CJ357" s="3"/>
      <c r="CK357" s="3"/>
      <c r="CL357" s="3"/>
      <c r="CM357" s="3"/>
      <c r="CN357" s="3"/>
      <c r="CO357" s="3"/>
    </row>
    <row r="358" spans="21:93" ht="15"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3"/>
      <c r="CG358" s="3"/>
      <c r="CH358" s="3"/>
      <c r="CI358" s="3"/>
      <c r="CJ358" s="3"/>
      <c r="CK358" s="3"/>
      <c r="CL358" s="3"/>
      <c r="CM358" s="3"/>
      <c r="CN358" s="3"/>
      <c r="CO358" s="3"/>
    </row>
    <row r="359" spans="21:93" ht="15"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3"/>
      <c r="CG359" s="3"/>
      <c r="CH359" s="3"/>
      <c r="CI359" s="3"/>
      <c r="CJ359" s="3"/>
      <c r="CK359" s="3"/>
      <c r="CL359" s="3"/>
      <c r="CM359" s="3"/>
      <c r="CN359" s="3"/>
      <c r="CO359" s="3"/>
    </row>
    <row r="360" spans="21:93" ht="15"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3"/>
      <c r="CG360" s="3"/>
      <c r="CH360" s="3"/>
      <c r="CI360" s="3"/>
      <c r="CJ360" s="3"/>
      <c r="CK360" s="3"/>
      <c r="CL360" s="3"/>
      <c r="CM360" s="3"/>
      <c r="CN360" s="3"/>
      <c r="CO360" s="3"/>
    </row>
    <row r="361" spans="21:93" ht="15"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3"/>
      <c r="CG361" s="3"/>
      <c r="CH361" s="3"/>
      <c r="CI361" s="3"/>
      <c r="CJ361" s="3"/>
      <c r="CK361" s="3"/>
      <c r="CL361" s="3"/>
      <c r="CM361" s="3"/>
      <c r="CN361" s="3"/>
      <c r="CO361" s="3"/>
    </row>
    <row r="362" spans="21:93" ht="15"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3"/>
      <c r="CG362" s="3"/>
      <c r="CH362" s="3"/>
      <c r="CI362" s="3"/>
      <c r="CJ362" s="3"/>
      <c r="CK362" s="3"/>
      <c r="CL362" s="3"/>
      <c r="CM362" s="3"/>
      <c r="CN362" s="3"/>
      <c r="CO362" s="3"/>
    </row>
    <row r="363" spans="21:93" ht="15"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3"/>
      <c r="CG363" s="3"/>
      <c r="CH363" s="3"/>
      <c r="CI363" s="3"/>
      <c r="CJ363" s="3"/>
      <c r="CK363" s="3"/>
      <c r="CL363" s="3"/>
      <c r="CM363" s="3"/>
      <c r="CN363" s="3"/>
      <c r="CO363" s="3"/>
    </row>
    <row r="364" spans="21:93" ht="15"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3"/>
      <c r="CG364" s="3"/>
      <c r="CH364" s="3"/>
      <c r="CI364" s="3"/>
      <c r="CJ364" s="3"/>
      <c r="CK364" s="3"/>
      <c r="CL364" s="3"/>
      <c r="CM364" s="3"/>
      <c r="CN364" s="3"/>
      <c r="CO364" s="3"/>
    </row>
    <row r="365" spans="21:93" ht="15"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3"/>
      <c r="CG365" s="3"/>
      <c r="CH365" s="3"/>
      <c r="CI365" s="3"/>
      <c r="CJ365" s="3"/>
      <c r="CK365" s="3"/>
      <c r="CL365" s="3"/>
      <c r="CM365" s="3"/>
      <c r="CN365" s="3"/>
      <c r="CO365" s="3"/>
    </row>
    <row r="366" spans="21:93" ht="15"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3"/>
      <c r="CG366" s="3"/>
      <c r="CH366" s="3"/>
      <c r="CI366" s="3"/>
      <c r="CJ366" s="3"/>
      <c r="CK366" s="3"/>
      <c r="CL366" s="3"/>
      <c r="CM366" s="3"/>
      <c r="CN366" s="3"/>
      <c r="CO366" s="3"/>
    </row>
    <row r="367" spans="21:93" ht="15"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3"/>
      <c r="CG367" s="3"/>
      <c r="CH367" s="3"/>
      <c r="CI367" s="3"/>
      <c r="CJ367" s="3"/>
      <c r="CK367" s="3"/>
      <c r="CL367" s="3"/>
      <c r="CM367" s="3"/>
      <c r="CN367" s="3"/>
      <c r="CO367" s="3"/>
    </row>
    <row r="368" spans="21:93" ht="15"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3"/>
      <c r="CG368" s="3"/>
      <c r="CH368" s="3"/>
      <c r="CI368" s="3"/>
      <c r="CJ368" s="3"/>
      <c r="CK368" s="3"/>
      <c r="CL368" s="3"/>
      <c r="CM368" s="3"/>
      <c r="CN368" s="3"/>
      <c r="CO368" s="3"/>
    </row>
    <row r="369" spans="21:93" ht="15"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3"/>
      <c r="CG369" s="3"/>
      <c r="CH369" s="3"/>
      <c r="CI369" s="3"/>
      <c r="CJ369" s="3"/>
      <c r="CK369" s="3"/>
      <c r="CL369" s="3"/>
      <c r="CM369" s="3"/>
      <c r="CN369" s="3"/>
      <c r="CO369" s="3"/>
    </row>
    <row r="370" spans="21:93" ht="15"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3"/>
      <c r="CG370" s="3"/>
      <c r="CH370" s="3"/>
      <c r="CI370" s="3"/>
      <c r="CJ370" s="3"/>
      <c r="CK370" s="3"/>
      <c r="CL370" s="3"/>
      <c r="CM370" s="3"/>
      <c r="CN370" s="3"/>
      <c r="CO370" s="3"/>
    </row>
    <row r="371" spans="21:93" ht="15"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3"/>
      <c r="CG371" s="3"/>
      <c r="CH371" s="3"/>
      <c r="CI371" s="3"/>
      <c r="CJ371" s="3"/>
      <c r="CK371" s="3"/>
      <c r="CL371" s="3"/>
      <c r="CM371" s="3"/>
      <c r="CN371" s="3"/>
      <c r="CO371" s="3"/>
    </row>
    <row r="372" spans="21:93" ht="15"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3"/>
      <c r="CG372" s="3"/>
      <c r="CH372" s="3"/>
      <c r="CI372" s="3"/>
      <c r="CJ372" s="3"/>
      <c r="CK372" s="3"/>
      <c r="CL372" s="3"/>
      <c r="CM372" s="3"/>
      <c r="CN372" s="3"/>
      <c r="CO372" s="3"/>
    </row>
    <row r="373" spans="21:93" ht="15"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3"/>
      <c r="CG373" s="3"/>
      <c r="CH373" s="3"/>
      <c r="CI373" s="3"/>
      <c r="CJ373" s="3"/>
      <c r="CK373" s="3"/>
      <c r="CL373" s="3"/>
      <c r="CM373" s="3"/>
      <c r="CN373" s="3"/>
      <c r="CO373" s="3"/>
    </row>
    <row r="374" spans="21:93" ht="15">
      <c r="U374" s="9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</row>
    <row r="375" spans="21:93" ht="15">
      <c r="U375" s="9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</row>
    <row r="376" spans="21:93" ht="15">
      <c r="U376" s="9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</row>
    <row r="377" spans="21:93" ht="15">
      <c r="U377" s="9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</row>
    <row r="378" spans="21:93" ht="15">
      <c r="U378" s="9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</row>
    <row r="379" spans="21:93" ht="15">
      <c r="U379" s="9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</row>
    <row r="380" spans="21:93" ht="15">
      <c r="U380" s="9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</row>
    <row r="381" spans="21:93" ht="15">
      <c r="U381" s="9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</row>
    <row r="382" spans="21:93" ht="15">
      <c r="U382" s="9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</row>
    <row r="383" spans="21:93" ht="15">
      <c r="U383" s="9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</row>
    <row r="384" spans="21:93" ht="15">
      <c r="U384" s="9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</row>
    <row r="385" spans="21:93" ht="15">
      <c r="U385" s="9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</row>
    <row r="386" spans="21:93" ht="15">
      <c r="U386" s="9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</row>
    <row r="387" spans="21:93" ht="15">
      <c r="U387" s="9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</row>
    <row r="388" spans="21:93" ht="15">
      <c r="U388" s="9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</row>
    <row r="389" spans="21:93" ht="15">
      <c r="U389" s="9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</row>
    <row r="390" spans="21:93" ht="15">
      <c r="U390" s="9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</row>
    <row r="391" spans="21:93" ht="15">
      <c r="U391" s="9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</row>
    <row r="392" spans="21:93" ht="15">
      <c r="U392" s="9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</row>
    <row r="393" spans="21:93" ht="15">
      <c r="U393" s="9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</row>
    <row r="394" spans="21:93" ht="15">
      <c r="U394" s="9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</row>
    <row r="395" spans="21:93" ht="15">
      <c r="U395" s="9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</row>
    <row r="396" spans="21:93" ht="15">
      <c r="U396" s="9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</row>
    <row r="397" spans="21:93" ht="15">
      <c r="U397" s="9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</row>
    <row r="398" spans="21:93" ht="15">
      <c r="U398" s="9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</row>
    <row r="399" spans="21:93" ht="15">
      <c r="U399" s="9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</row>
    <row r="400" spans="21:93" ht="15">
      <c r="U400" s="9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</row>
    <row r="401" spans="21:93" ht="15">
      <c r="U401" s="9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</row>
    <row r="402" spans="21:93" ht="15">
      <c r="U402" s="9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</row>
    <row r="403" spans="21:93" ht="15">
      <c r="U403" s="9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</row>
    <row r="404" spans="21:93" ht="15">
      <c r="U404" s="9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</row>
    <row r="405" spans="21:93" ht="15">
      <c r="U405" s="9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</row>
    <row r="406" spans="22:85" ht="15"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</row>
    <row r="407" spans="22:85" ht="15"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</row>
    <row r="408" spans="22:85" ht="15"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</row>
    <row r="409" spans="22:85" ht="15"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</row>
    <row r="410" spans="22:85" ht="15"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</row>
    <row r="411" spans="22:85" ht="15"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</row>
    <row r="412" spans="22:85" ht="15"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</row>
    <row r="413" spans="22:85" ht="15"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</row>
    <row r="414" spans="22:85" ht="15"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</row>
    <row r="415" spans="22:85" ht="15"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</row>
    <row r="416" spans="22:85" ht="15"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</row>
    <row r="417" spans="22:85" ht="15"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</row>
    <row r="418" spans="22:85" ht="15"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</row>
    <row r="419" spans="22:85" ht="15"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</row>
    <row r="420" spans="22:85" ht="15"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</row>
    <row r="421" spans="22:85" ht="15"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</row>
    <row r="422" spans="22:85" ht="15"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</row>
    <row r="423" spans="22:85" ht="15"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</row>
    <row r="424" spans="22:85" ht="15"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</row>
    <row r="425" spans="22:85" ht="15"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</row>
    <row r="426" spans="22:85" ht="15"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</row>
    <row r="427" spans="22:85" ht="15"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</row>
    <row r="428" spans="22:85" ht="15"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</row>
    <row r="429" spans="22:85" ht="15"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</row>
    <row r="430" spans="22:85" ht="15"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</row>
    <row r="431" spans="22:85" ht="15"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</row>
    <row r="432" spans="22:85" ht="15"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</row>
    <row r="433" spans="22:85" ht="15"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</row>
    <row r="434" spans="22:85" ht="15"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</row>
    <row r="435" spans="22:85" ht="15"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</row>
    <row r="436" spans="22:85" ht="15"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</row>
    <row r="437" spans="22:85" ht="15"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</row>
    <row r="438" spans="22:85" ht="15"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</row>
    <row r="439" spans="22:85" ht="15"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</row>
    <row r="440" spans="22:85" ht="15"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</row>
    <row r="441" spans="22:85" ht="15"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</row>
    <row r="442" spans="22:85" ht="15"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</row>
    <row r="443" spans="22:85" ht="15"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</row>
    <row r="444" spans="22:85" ht="15"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</row>
    <row r="445" spans="22:85" ht="15"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</row>
    <row r="446" spans="22:85" ht="15"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</row>
    <row r="447" spans="22:85" ht="15"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</row>
    <row r="448" spans="22:85" ht="15"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</row>
    <row r="449" spans="22:85" ht="15"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</row>
    <row r="450" spans="22:85" ht="15"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</row>
    <row r="451" spans="22:85" ht="15"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</row>
    <row r="452" spans="22:85" ht="15"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</row>
    <row r="453" spans="22:85" ht="15"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</row>
    <row r="454" spans="22:85" ht="15"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</row>
    <row r="455" spans="22:85" ht="15"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</row>
    <row r="456" spans="22:85" ht="15"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</row>
    <row r="457" spans="22:85" ht="15"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</row>
    <row r="458" spans="22:85" ht="15"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</row>
    <row r="459" spans="22:85" ht="15"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</row>
    <row r="460" spans="22:85" ht="15"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</row>
    <row r="461" spans="22:85" ht="15"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</row>
    <row r="462" spans="22:85" ht="15"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</row>
    <row r="463" spans="22:85" ht="15"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</row>
    <row r="464" spans="22:85" ht="15"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</row>
    <row r="465" spans="22:85" ht="15"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</row>
    <row r="466" spans="22:85" ht="15"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</row>
    <row r="467" spans="22:85" ht="15"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</row>
    <row r="468" spans="22:85" ht="15"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</row>
    <row r="469" spans="22:85" ht="15"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</row>
    <row r="470" spans="22:85" ht="15"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</row>
    <row r="471" spans="22:85" ht="15"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</row>
    <row r="472" spans="22:85" ht="15"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</row>
    <row r="473" spans="22:85" ht="15"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</row>
    <row r="474" spans="22:85" ht="15"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</row>
    <row r="475" spans="22:85" ht="15"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</row>
    <row r="476" spans="22:85" ht="15"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</row>
    <row r="477" spans="22:85" ht="15"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</row>
    <row r="478" spans="22:85" ht="15"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</row>
    <row r="479" spans="22:85" ht="15"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</row>
    <row r="480" spans="22:85" ht="15"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</row>
    <row r="481" spans="22:85" ht="15"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</row>
    <row r="482" spans="22:85" ht="15"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</row>
    <row r="483" spans="22:85" ht="15"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</row>
    <row r="484" spans="22:85" ht="15"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</row>
    <row r="485" spans="22:85" ht="15"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</row>
    <row r="486" spans="22:85" ht="15"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</row>
    <row r="487" spans="22:85" ht="15"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</row>
    <row r="488" spans="22:85" ht="15"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</row>
    <row r="489" spans="22:85" ht="15"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</row>
    <row r="490" spans="22:85" ht="15"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</row>
    <row r="491" spans="22:85" ht="15"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</row>
    <row r="492" spans="22:85" ht="15"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</row>
    <row r="493" spans="22:85" ht="15"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</row>
    <row r="494" spans="22:85" ht="15"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</row>
    <row r="495" spans="22:85" ht="15"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</row>
    <row r="496" spans="22:85" ht="15"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</row>
    <row r="497" spans="22:85" ht="15"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</row>
    <row r="498" spans="22:85" ht="15"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</row>
    <row r="499" spans="22:85" ht="15"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</row>
    <row r="500" spans="22:85" ht="15"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</row>
    <row r="501" spans="22:85" ht="15"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</row>
    <row r="502" spans="22:85" ht="15"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</row>
    <row r="503" spans="22:85" ht="15"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</row>
    <row r="504" spans="22:85" ht="15"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</row>
    <row r="505" spans="22:85" ht="15"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</row>
    <row r="506" spans="22:85" ht="15"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</row>
    <row r="507" spans="22:85" ht="15"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</row>
    <row r="508" spans="22:85" ht="15"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</row>
    <row r="509" spans="22:85" ht="15"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</row>
    <row r="510" spans="22:85" ht="15"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</row>
    <row r="511" spans="22:85" ht="15"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</row>
    <row r="512" spans="22:85" ht="15"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</row>
    <row r="513" spans="22:85" ht="15"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</row>
    <row r="514" spans="22:85" ht="15"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</row>
    <row r="515" spans="22:85" ht="15"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</row>
    <row r="516" spans="22:85" ht="15"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</row>
    <row r="517" spans="22:85" ht="15"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</row>
    <row r="518" spans="22:85" ht="15"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</row>
    <row r="519" spans="22:85" ht="15"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</row>
    <row r="520" spans="22:85" ht="15"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</row>
    <row r="521" spans="22:85" ht="15"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</row>
    <row r="522" spans="22:85" ht="15"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</row>
    <row r="523" spans="22:85" ht="15"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</row>
    <row r="524" spans="22:85" ht="15"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</row>
    <row r="525" spans="22:85" ht="15"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</row>
    <row r="526" spans="22:85" ht="15"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</row>
    <row r="527" spans="22:85" ht="15"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</row>
    <row r="528" spans="22:85" ht="15"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</row>
    <row r="529" spans="22:85" ht="15"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</row>
    <row r="530" spans="22:85" ht="15"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</row>
    <row r="531" spans="22:85" ht="15"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</row>
    <row r="532" spans="22:85" ht="15"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</row>
    <row r="533" spans="22:85" ht="15"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</row>
    <row r="534" spans="22:85" ht="15"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</row>
    <row r="535" spans="22:85" ht="15"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</row>
    <row r="536" spans="22:85" ht="15"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</row>
    <row r="537" spans="22:85" ht="15"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</row>
    <row r="538" spans="22:85" ht="15"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</row>
    <row r="539" spans="22:85" ht="15"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</row>
    <row r="540" spans="22:85" ht="15"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</row>
    <row r="541" spans="22:85" ht="15"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</row>
    <row r="542" spans="22:85" ht="15"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</row>
    <row r="543" spans="22:85" ht="15"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</row>
    <row r="544" spans="22:85" ht="15"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</row>
    <row r="545" spans="22:85" ht="15"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</row>
    <row r="546" spans="22:85" ht="15"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</row>
    <row r="547" spans="22:85" ht="15"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</row>
    <row r="548" spans="22:85" ht="15"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</row>
    <row r="549" spans="22:85" ht="15"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</row>
    <row r="550" spans="22:85" ht="15"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</row>
    <row r="551" spans="22:85" ht="15"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</row>
    <row r="552" spans="22:85" ht="15"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</row>
    <row r="553" spans="22:85" ht="15"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</row>
    <row r="554" spans="22:85" ht="15"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</row>
    <row r="555" spans="22:85" ht="15"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</row>
    <row r="556" spans="22:85" ht="15"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</row>
    <row r="557" spans="22:85" ht="15"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</row>
    <row r="558" spans="22:85" ht="15"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</row>
    <row r="559" spans="22:85" ht="15"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</row>
    <row r="560" spans="22:85" ht="15"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</row>
    <row r="561" spans="22:85" ht="15"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</row>
    <row r="562" spans="22:85" ht="15"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</row>
    <row r="563" spans="22:85" ht="15"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</row>
    <row r="564" spans="22:85" ht="15"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</row>
    <row r="565" spans="22:85" ht="15"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</row>
    <row r="566" spans="22:85" ht="15"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</row>
    <row r="567" spans="22:85" ht="15"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</row>
    <row r="568" spans="22:85" ht="15"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</row>
    <row r="569" spans="22:85" ht="15"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</row>
    <row r="570" spans="22:85" ht="15"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</row>
    <row r="571" spans="22:85" ht="15"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</row>
    <row r="572" spans="22:85" ht="15"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</row>
    <row r="573" spans="22:85" ht="15"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</row>
    <row r="574" spans="22:85" ht="15"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</row>
    <row r="575" spans="22:85" ht="15"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</row>
    <row r="576" spans="22:85" ht="15"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</row>
    <row r="577" spans="22:85" ht="15"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</row>
    <row r="578" spans="22:85" ht="15"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</row>
    <row r="579" spans="22:85" ht="15"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</row>
    <row r="580" spans="22:85" ht="15"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</row>
    <row r="581" spans="22:85" ht="15"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</row>
    <row r="582" spans="22:85" ht="15"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</row>
    <row r="583" spans="22:85" ht="15"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</row>
    <row r="584" spans="22:85" ht="15"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</row>
    <row r="585" spans="22:85" ht="15"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</row>
    <row r="586" spans="22:85" ht="15"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</row>
    <row r="587" spans="22:85" ht="15"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</row>
    <row r="588" spans="22:85" ht="15"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</row>
    <row r="589" spans="22:85" ht="15"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</row>
    <row r="590" spans="22:85" ht="15"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</row>
    <row r="591" spans="22:85" ht="15"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</row>
    <row r="592" spans="22:85" ht="15"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</row>
    <row r="593" spans="22:85" ht="15"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</row>
    <row r="594" spans="22:85" ht="15"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</row>
    <row r="595" spans="22:85" ht="15"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</row>
    <row r="596" spans="22:85" ht="15"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</row>
    <row r="597" spans="22:85" ht="15"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</row>
    <row r="598" spans="22:85" ht="15"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</row>
    <row r="599" spans="22:85" ht="15"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</row>
    <row r="600" spans="22:85" ht="15"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</row>
    <row r="601" spans="22:85" ht="15"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</row>
    <row r="602" spans="22:85" ht="15"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</row>
    <row r="603" spans="22:85" ht="15"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</row>
    <row r="604" spans="22:85" ht="15"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</row>
    <row r="605" spans="22:85" ht="15"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</row>
    <row r="606" spans="22:85" ht="15"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</row>
    <row r="607" spans="22:85" ht="15"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</row>
    <row r="608" spans="22:85" ht="15"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</row>
    <row r="609" spans="22:85" ht="15"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</row>
    <row r="610" spans="22:85" ht="15"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</row>
    <row r="611" spans="22:85" ht="15"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</row>
    <row r="612" spans="22:85" ht="15"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</row>
    <row r="613" spans="22:85" ht="15"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</row>
    <row r="614" spans="22:85" ht="15"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</row>
    <row r="615" spans="22:85" ht="15"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</row>
    <row r="616" spans="22:85" ht="15"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</row>
    <row r="617" spans="22:85" ht="15"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</row>
    <row r="618" spans="22:85" ht="15"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</row>
    <row r="619" spans="22:85" ht="15"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</row>
    <row r="620" spans="22:85" ht="15"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</row>
    <row r="621" spans="22:85" ht="15"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</row>
    <row r="622" spans="22:85" ht="15"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</row>
    <row r="623" spans="22:85" ht="15"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</row>
    <row r="624" spans="22:85" ht="15"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</row>
    <row r="625" spans="22:85" ht="15"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</row>
    <row r="626" spans="22:85" ht="15"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</row>
    <row r="627" spans="22:85" ht="15"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</row>
    <row r="628" spans="22:85" ht="15"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</row>
    <row r="629" spans="22:85" ht="15"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</row>
    <row r="630" spans="22:85" ht="15"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</row>
    <row r="631" spans="22:85" ht="15"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</row>
    <row r="632" spans="22:85" ht="15"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</row>
    <row r="633" spans="22:85" ht="15"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</row>
    <row r="634" spans="22:85" ht="15"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</row>
    <row r="635" spans="22:85" ht="15"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</row>
    <row r="636" spans="22:85" ht="15"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</row>
    <row r="637" spans="22:85" ht="15"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</row>
    <row r="638" spans="22:85" ht="15"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</row>
    <row r="639" spans="22:85" ht="15"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</row>
    <row r="640" spans="22:85" ht="15"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</row>
    <row r="641" spans="22:85" ht="15"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</row>
    <row r="642" spans="22:85" ht="15"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</row>
    <row r="643" spans="22:85" ht="15"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</row>
    <row r="644" spans="22:85" ht="15"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</row>
    <row r="645" spans="22:85" ht="15"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</row>
    <row r="646" spans="22:85" ht="15"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</row>
    <row r="647" spans="22:85" ht="15"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</row>
  </sheetData>
  <sheetProtection/>
  <mergeCells count="1383">
    <mergeCell ref="B2:D3"/>
    <mergeCell ref="G2:I2"/>
    <mergeCell ref="R2:U2"/>
    <mergeCell ref="E3:F3"/>
    <mergeCell ref="E4:I4"/>
    <mergeCell ref="S4:T4"/>
    <mergeCell ref="H5:I5"/>
    <mergeCell ref="S5:T5"/>
    <mergeCell ref="H6:I6"/>
    <mergeCell ref="S6:T6"/>
    <mergeCell ref="H7:I7"/>
    <mergeCell ref="S7:T7"/>
    <mergeCell ref="S8:T8"/>
    <mergeCell ref="H9:I9"/>
    <mergeCell ref="S9:T9"/>
    <mergeCell ref="F10:G10"/>
    <mergeCell ref="H10:I10"/>
    <mergeCell ref="S10:T10"/>
    <mergeCell ref="F11:G11"/>
    <mergeCell ref="H11:I11"/>
    <mergeCell ref="S11:T11"/>
    <mergeCell ref="F12:G12"/>
    <mergeCell ref="S12:T12"/>
    <mergeCell ref="F13:G13"/>
    <mergeCell ref="S13:T13"/>
    <mergeCell ref="S14:T14"/>
    <mergeCell ref="S15:T15"/>
    <mergeCell ref="S16:T16"/>
    <mergeCell ref="B17:C18"/>
    <mergeCell ref="G17:I17"/>
    <mergeCell ref="K17:L17"/>
    <mergeCell ref="M17:N17"/>
    <mergeCell ref="S17:T17"/>
    <mergeCell ref="F18:G18"/>
    <mergeCell ref="H18:I18"/>
    <mergeCell ref="K18:L18"/>
    <mergeCell ref="O18:Q18"/>
    <mergeCell ref="S18:T18"/>
    <mergeCell ref="B19:C20"/>
    <mergeCell ref="D19:D20"/>
    <mergeCell ref="E19:E20"/>
    <mergeCell ref="F19:G20"/>
    <mergeCell ref="H19:I20"/>
    <mergeCell ref="J19:J20"/>
    <mergeCell ref="K19:L20"/>
    <mergeCell ref="M19:M20"/>
    <mergeCell ref="N19:N20"/>
    <mergeCell ref="O19:O20"/>
    <mergeCell ref="P19:Q20"/>
    <mergeCell ref="S19:T19"/>
    <mergeCell ref="S20:T20"/>
    <mergeCell ref="B21:C22"/>
    <mergeCell ref="D21:D22"/>
    <mergeCell ref="E21:E22"/>
    <mergeCell ref="F21:G22"/>
    <mergeCell ref="H21:I22"/>
    <mergeCell ref="J21:J22"/>
    <mergeCell ref="K21:L22"/>
    <mergeCell ref="M21:M22"/>
    <mergeCell ref="N21:N22"/>
    <mergeCell ref="O21:O22"/>
    <mergeCell ref="P21:Q22"/>
    <mergeCell ref="S21:T21"/>
    <mergeCell ref="S22:T22"/>
    <mergeCell ref="B23:C24"/>
    <mergeCell ref="D23:D24"/>
    <mergeCell ref="E23:E24"/>
    <mergeCell ref="F23:G24"/>
    <mergeCell ref="H23:I24"/>
    <mergeCell ref="J23:J24"/>
    <mergeCell ref="K23:L24"/>
    <mergeCell ref="M23:M24"/>
    <mergeCell ref="N23:N24"/>
    <mergeCell ref="O23:O24"/>
    <mergeCell ref="P23:Q24"/>
    <mergeCell ref="S23:T23"/>
    <mergeCell ref="S24:T24"/>
    <mergeCell ref="B25:C26"/>
    <mergeCell ref="D25:D26"/>
    <mergeCell ref="E25:E26"/>
    <mergeCell ref="F25:G26"/>
    <mergeCell ref="H25:I26"/>
    <mergeCell ref="J25:J26"/>
    <mergeCell ref="K25:L26"/>
    <mergeCell ref="M25:M26"/>
    <mergeCell ref="N25:N26"/>
    <mergeCell ref="O25:O26"/>
    <mergeCell ref="P25:Q26"/>
    <mergeCell ref="S25:T25"/>
    <mergeCell ref="S26:T26"/>
    <mergeCell ref="B27:C28"/>
    <mergeCell ref="D27:D28"/>
    <mergeCell ref="E27:E28"/>
    <mergeCell ref="F27:G28"/>
    <mergeCell ref="H27:I28"/>
    <mergeCell ref="J27:J28"/>
    <mergeCell ref="K27:L28"/>
    <mergeCell ref="M27:M28"/>
    <mergeCell ref="N27:N28"/>
    <mergeCell ref="O27:O28"/>
    <mergeCell ref="P27:Q28"/>
    <mergeCell ref="S27:T27"/>
    <mergeCell ref="S28:T28"/>
    <mergeCell ref="B29:C30"/>
    <mergeCell ref="D29:D30"/>
    <mergeCell ref="E29:E30"/>
    <mergeCell ref="F29:G30"/>
    <mergeCell ref="H29:I30"/>
    <mergeCell ref="J29:J30"/>
    <mergeCell ref="K29:L30"/>
    <mergeCell ref="M29:M30"/>
    <mergeCell ref="N29:N30"/>
    <mergeCell ref="O29:O30"/>
    <mergeCell ref="P29:Q30"/>
    <mergeCell ref="S29:T29"/>
    <mergeCell ref="S30:T30"/>
    <mergeCell ref="B31:C32"/>
    <mergeCell ref="D31:D32"/>
    <mergeCell ref="E31:E32"/>
    <mergeCell ref="F31:G32"/>
    <mergeCell ref="H31:I32"/>
    <mergeCell ref="J31:J32"/>
    <mergeCell ref="K31:L32"/>
    <mergeCell ref="M31:M32"/>
    <mergeCell ref="N31:N32"/>
    <mergeCell ref="O31:O32"/>
    <mergeCell ref="P31:Q32"/>
    <mergeCell ref="S31:T31"/>
    <mergeCell ref="S32:T32"/>
    <mergeCell ref="B33:C34"/>
    <mergeCell ref="D33:D34"/>
    <mergeCell ref="E33:E34"/>
    <mergeCell ref="F33:G34"/>
    <mergeCell ref="H33:I34"/>
    <mergeCell ref="J33:J34"/>
    <mergeCell ref="K33:L34"/>
    <mergeCell ref="M33:M34"/>
    <mergeCell ref="N33:N34"/>
    <mergeCell ref="O33:O34"/>
    <mergeCell ref="P33:Q34"/>
    <mergeCell ref="S33:T33"/>
    <mergeCell ref="S34:T34"/>
    <mergeCell ref="B35:C36"/>
    <mergeCell ref="D35:D36"/>
    <mergeCell ref="E35:E36"/>
    <mergeCell ref="F35:G36"/>
    <mergeCell ref="H35:I36"/>
    <mergeCell ref="J35:J36"/>
    <mergeCell ref="K35:L36"/>
    <mergeCell ref="M35:M36"/>
    <mergeCell ref="N35:N36"/>
    <mergeCell ref="O35:Q35"/>
    <mergeCell ref="S35:T35"/>
    <mergeCell ref="O36:Q36"/>
    <mergeCell ref="S36:T36"/>
    <mergeCell ref="B37:C38"/>
    <mergeCell ref="D37:D38"/>
    <mergeCell ref="E37:E38"/>
    <mergeCell ref="F37:G38"/>
    <mergeCell ref="H37:I38"/>
    <mergeCell ref="J37:J38"/>
    <mergeCell ref="K37:L38"/>
    <mergeCell ref="M37:M38"/>
    <mergeCell ref="N37:N38"/>
    <mergeCell ref="O37:Q37"/>
    <mergeCell ref="S37:T37"/>
    <mergeCell ref="O38:Q38"/>
    <mergeCell ref="S38:T38"/>
    <mergeCell ref="B39:C40"/>
    <mergeCell ref="D39:D40"/>
    <mergeCell ref="E39:E40"/>
    <mergeCell ref="F39:G40"/>
    <mergeCell ref="H39:I40"/>
    <mergeCell ref="J39:J40"/>
    <mergeCell ref="K39:L40"/>
    <mergeCell ref="M39:M40"/>
    <mergeCell ref="N39:N40"/>
    <mergeCell ref="O39:Q39"/>
    <mergeCell ref="S39:T39"/>
    <mergeCell ref="O40:Q40"/>
    <mergeCell ref="S40:T40"/>
    <mergeCell ref="B41:C42"/>
    <mergeCell ref="D41:D42"/>
    <mergeCell ref="E41:E42"/>
    <mergeCell ref="F41:G42"/>
    <mergeCell ref="H41:I42"/>
    <mergeCell ref="J41:J42"/>
    <mergeCell ref="K41:L42"/>
    <mergeCell ref="M41:M42"/>
    <mergeCell ref="N41:N42"/>
    <mergeCell ref="O41:Q41"/>
    <mergeCell ref="S41:T41"/>
    <mergeCell ref="O42:Q42"/>
    <mergeCell ref="S42:T42"/>
    <mergeCell ref="B43:C44"/>
    <mergeCell ref="D43:D44"/>
    <mergeCell ref="E43:E44"/>
    <mergeCell ref="F43:G44"/>
    <mergeCell ref="H43:I44"/>
    <mergeCell ref="J43:J44"/>
    <mergeCell ref="K43:L44"/>
    <mergeCell ref="M43:M44"/>
    <mergeCell ref="N43:N44"/>
    <mergeCell ref="O43:Q43"/>
    <mergeCell ref="S43:T43"/>
    <mergeCell ref="O44:Q44"/>
    <mergeCell ref="S44:T44"/>
    <mergeCell ref="B45:C46"/>
    <mergeCell ref="D45:D46"/>
    <mergeCell ref="E45:E46"/>
    <mergeCell ref="F45:G46"/>
    <mergeCell ref="H45:I46"/>
    <mergeCell ref="J45:J46"/>
    <mergeCell ref="K45:L46"/>
    <mergeCell ref="M45:M46"/>
    <mergeCell ref="N45:N46"/>
    <mergeCell ref="O45:Q45"/>
    <mergeCell ref="S45:T45"/>
    <mergeCell ref="S46:T46"/>
    <mergeCell ref="B47:C48"/>
    <mergeCell ref="D47:D48"/>
    <mergeCell ref="E47:E48"/>
    <mergeCell ref="F47:G48"/>
    <mergeCell ref="H47:I48"/>
    <mergeCell ref="J47:J48"/>
    <mergeCell ref="K47:L48"/>
    <mergeCell ref="M47:M48"/>
    <mergeCell ref="N47:N48"/>
    <mergeCell ref="S47:T47"/>
    <mergeCell ref="S48:T48"/>
    <mergeCell ref="S49:T49"/>
    <mergeCell ref="B50:C51"/>
    <mergeCell ref="S50:T50"/>
    <mergeCell ref="K51:N51"/>
    <mergeCell ref="S51:T51"/>
    <mergeCell ref="B52:C52"/>
    <mergeCell ref="O52:Q52"/>
    <mergeCell ref="S52:T52"/>
    <mergeCell ref="B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Q54"/>
    <mergeCell ref="S53:T53"/>
    <mergeCell ref="S54:T54"/>
    <mergeCell ref="B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Q56"/>
    <mergeCell ref="S55:T55"/>
    <mergeCell ref="S56:T56"/>
    <mergeCell ref="B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Q58"/>
    <mergeCell ref="S57:T57"/>
    <mergeCell ref="S58:T58"/>
    <mergeCell ref="B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Q60"/>
    <mergeCell ref="S59:T59"/>
    <mergeCell ref="S60:T60"/>
    <mergeCell ref="B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S61:T61"/>
    <mergeCell ref="S62:T62"/>
    <mergeCell ref="B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S63:T63"/>
    <mergeCell ref="S64:T64"/>
    <mergeCell ref="B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S65:T65"/>
    <mergeCell ref="S66:T66"/>
    <mergeCell ref="B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S67:T67"/>
    <mergeCell ref="S68:T68"/>
    <mergeCell ref="B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S69:T69"/>
    <mergeCell ref="S70:T70"/>
    <mergeCell ref="B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S71:T71"/>
    <mergeCell ref="S72:T72"/>
    <mergeCell ref="B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S73:T73"/>
    <mergeCell ref="S74:T74"/>
    <mergeCell ref="B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S75:T75"/>
    <mergeCell ref="S76:T76"/>
    <mergeCell ref="B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S77:T77"/>
    <mergeCell ref="S78:T78"/>
    <mergeCell ref="B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S79:T79"/>
    <mergeCell ref="S80:T80"/>
    <mergeCell ref="B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S81:T81"/>
    <mergeCell ref="S82:T82"/>
    <mergeCell ref="B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S83:T83"/>
    <mergeCell ref="S84:T84"/>
    <mergeCell ref="B85:C86"/>
    <mergeCell ref="D85:D86"/>
    <mergeCell ref="E85:E86"/>
    <mergeCell ref="F85:F86"/>
    <mergeCell ref="G85:G86"/>
    <mergeCell ref="H85:H86"/>
    <mergeCell ref="I85:I86"/>
    <mergeCell ref="J85:J86"/>
    <mergeCell ref="S85:T85"/>
    <mergeCell ref="S86:T86"/>
    <mergeCell ref="K87:N87"/>
    <mergeCell ref="S87:T87"/>
    <mergeCell ref="K85:K86"/>
    <mergeCell ref="L85:L86"/>
    <mergeCell ref="M85:M86"/>
    <mergeCell ref="N85:N86"/>
    <mergeCell ref="B88:C88"/>
    <mergeCell ref="O88:Q88"/>
    <mergeCell ref="S88:T88"/>
    <mergeCell ref="B89:C90"/>
    <mergeCell ref="D89:D90"/>
    <mergeCell ref="E89:E90"/>
    <mergeCell ref="F89:F90"/>
    <mergeCell ref="G89:G90"/>
    <mergeCell ref="H89:H90"/>
    <mergeCell ref="I89:I90"/>
    <mergeCell ref="J89:J90"/>
    <mergeCell ref="K89:K90"/>
    <mergeCell ref="M89:M90"/>
    <mergeCell ref="N89:N90"/>
    <mergeCell ref="O89:O90"/>
    <mergeCell ref="P89:Q90"/>
    <mergeCell ref="S89:T89"/>
    <mergeCell ref="S90:T90"/>
    <mergeCell ref="B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Q92"/>
    <mergeCell ref="S91:T91"/>
    <mergeCell ref="S92:T92"/>
    <mergeCell ref="B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Q94"/>
    <mergeCell ref="S93:T93"/>
    <mergeCell ref="S94:T94"/>
    <mergeCell ref="B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Q96"/>
    <mergeCell ref="S95:T95"/>
    <mergeCell ref="S96:T96"/>
    <mergeCell ref="B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S97:T97"/>
    <mergeCell ref="S98:T98"/>
    <mergeCell ref="B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S99:T99"/>
    <mergeCell ref="S100:T100"/>
    <mergeCell ref="B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S101:T101"/>
    <mergeCell ref="S102:T102"/>
    <mergeCell ref="B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S103:T103"/>
    <mergeCell ref="S104:T104"/>
    <mergeCell ref="B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S105:T105"/>
    <mergeCell ref="S106:T106"/>
    <mergeCell ref="B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S107:T107"/>
    <mergeCell ref="S108:T108"/>
    <mergeCell ref="B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S109:T109"/>
    <mergeCell ref="S110:T110"/>
    <mergeCell ref="B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S111:T111"/>
    <mergeCell ref="S112:T112"/>
    <mergeCell ref="B113:C114"/>
    <mergeCell ref="D113:D114"/>
    <mergeCell ref="E113:E114"/>
    <mergeCell ref="F113:F114"/>
    <mergeCell ref="G113:G114"/>
    <mergeCell ref="H113:H114"/>
    <mergeCell ref="I113:I114"/>
    <mergeCell ref="J113:J114"/>
    <mergeCell ref="S113:T113"/>
    <mergeCell ref="S114:T114"/>
    <mergeCell ref="K115:N115"/>
    <mergeCell ref="S115:T115"/>
    <mergeCell ref="K113:K114"/>
    <mergeCell ref="L113:L114"/>
    <mergeCell ref="M113:M114"/>
    <mergeCell ref="N113:N114"/>
    <mergeCell ref="B116:C116"/>
    <mergeCell ref="O116:Q116"/>
    <mergeCell ref="S116:T116"/>
    <mergeCell ref="B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Q118"/>
    <mergeCell ref="S117:T117"/>
    <mergeCell ref="S118:T118"/>
    <mergeCell ref="B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Q120"/>
    <mergeCell ref="S119:T119"/>
    <mergeCell ref="S120:T120"/>
    <mergeCell ref="B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Q122"/>
    <mergeCell ref="S121:T121"/>
    <mergeCell ref="S122:T122"/>
    <mergeCell ref="B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Q124"/>
    <mergeCell ref="S123:T123"/>
    <mergeCell ref="S124:T124"/>
    <mergeCell ref="B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S125:T125"/>
    <mergeCell ref="S126:T126"/>
    <mergeCell ref="B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S127:T127"/>
    <mergeCell ref="S128:T128"/>
    <mergeCell ref="B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S129:T129"/>
    <mergeCell ref="S130:T130"/>
    <mergeCell ref="B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S131:T131"/>
    <mergeCell ref="S132:T132"/>
    <mergeCell ref="B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S133:T133"/>
    <mergeCell ref="S134:T134"/>
    <mergeCell ref="B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S135:T135"/>
    <mergeCell ref="S136:T136"/>
    <mergeCell ref="B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S137:T137"/>
    <mergeCell ref="S138:T138"/>
    <mergeCell ref="B139:C140"/>
    <mergeCell ref="D139:D140"/>
    <mergeCell ref="E139:E140"/>
    <mergeCell ref="F139:F140"/>
    <mergeCell ref="G139:G140"/>
    <mergeCell ref="H139:H140"/>
    <mergeCell ref="I139:I140"/>
    <mergeCell ref="J139:J140"/>
    <mergeCell ref="S139:T139"/>
    <mergeCell ref="S140:T140"/>
    <mergeCell ref="K141:N141"/>
    <mergeCell ref="S141:T141"/>
    <mergeCell ref="K139:K140"/>
    <mergeCell ref="L139:L140"/>
    <mergeCell ref="M139:M140"/>
    <mergeCell ref="N139:N140"/>
    <mergeCell ref="B142:C142"/>
    <mergeCell ref="O142:Q142"/>
    <mergeCell ref="S142:T142"/>
    <mergeCell ref="B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Q144"/>
    <mergeCell ref="S143:T143"/>
    <mergeCell ref="S144:T144"/>
    <mergeCell ref="B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Q146"/>
    <mergeCell ref="S145:T145"/>
    <mergeCell ref="S146:T146"/>
    <mergeCell ref="B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Q148"/>
    <mergeCell ref="S147:T147"/>
    <mergeCell ref="S148:T148"/>
    <mergeCell ref="B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Q150"/>
    <mergeCell ref="S149:T149"/>
    <mergeCell ref="S150:T150"/>
    <mergeCell ref="B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S151:T151"/>
    <mergeCell ref="S152:T152"/>
    <mergeCell ref="B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S153:T153"/>
    <mergeCell ref="S154:T154"/>
    <mergeCell ref="B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S155:T155"/>
    <mergeCell ref="S156:T156"/>
    <mergeCell ref="B157:C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S157:T157"/>
    <mergeCell ref="S158:T158"/>
    <mergeCell ref="B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S159:T159"/>
    <mergeCell ref="S160:T160"/>
    <mergeCell ref="B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S161:T161"/>
    <mergeCell ref="S162:T162"/>
    <mergeCell ref="B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S163:T163"/>
    <mergeCell ref="S164:T164"/>
    <mergeCell ref="B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S165:T165"/>
    <mergeCell ref="S166:T166"/>
    <mergeCell ref="B167:C168"/>
    <mergeCell ref="D167:D168"/>
    <mergeCell ref="E167:E168"/>
    <mergeCell ref="F167:F168"/>
    <mergeCell ref="G167:G168"/>
    <mergeCell ref="H167:H168"/>
    <mergeCell ref="I167:I168"/>
    <mergeCell ref="J167:J168"/>
    <mergeCell ref="S167:T167"/>
    <mergeCell ref="S168:T168"/>
    <mergeCell ref="S169:T169"/>
    <mergeCell ref="B170:D170"/>
    <mergeCell ref="S170:T170"/>
    <mergeCell ref="K167:K168"/>
    <mergeCell ref="L167:L168"/>
    <mergeCell ref="M167:M168"/>
    <mergeCell ref="N167:N168"/>
    <mergeCell ref="B171:B172"/>
    <mergeCell ref="C171:D172"/>
    <mergeCell ref="E171:E172"/>
    <mergeCell ref="F171:G172"/>
    <mergeCell ref="H171:H172"/>
    <mergeCell ref="I171:J172"/>
    <mergeCell ref="L171:M172"/>
    <mergeCell ref="N171:N172"/>
    <mergeCell ref="O171:P172"/>
    <mergeCell ref="S171:T171"/>
    <mergeCell ref="S172:T172"/>
    <mergeCell ref="B173:B174"/>
    <mergeCell ref="C173:D174"/>
    <mergeCell ref="F173:G174"/>
    <mergeCell ref="H173:H174"/>
    <mergeCell ref="I173:J174"/>
    <mergeCell ref="K173:M173"/>
    <mergeCell ref="S173:T173"/>
    <mergeCell ref="K174:M174"/>
    <mergeCell ref="S174:T174"/>
    <mergeCell ref="S175:T175"/>
    <mergeCell ref="B176:C177"/>
    <mergeCell ref="S176:T176"/>
    <mergeCell ref="G177:H177"/>
    <mergeCell ref="I177:M177"/>
    <mergeCell ref="N177:O177"/>
    <mergeCell ref="S177:T177"/>
    <mergeCell ref="B178:E178"/>
    <mergeCell ref="K178:M178"/>
    <mergeCell ref="S178:T178"/>
    <mergeCell ref="B179:E180"/>
    <mergeCell ref="F179:F180"/>
    <mergeCell ref="G179:G180"/>
    <mergeCell ref="H179:H180"/>
    <mergeCell ref="I179:I180"/>
    <mergeCell ref="J179:J180"/>
    <mergeCell ref="K179:M180"/>
    <mergeCell ref="N179:N180"/>
    <mergeCell ref="O179:O180"/>
    <mergeCell ref="S179:T179"/>
    <mergeCell ref="S180:T180"/>
    <mergeCell ref="B181:E182"/>
    <mergeCell ref="F181:F182"/>
    <mergeCell ref="G181:G182"/>
    <mergeCell ref="H181:H182"/>
    <mergeCell ref="I181:I182"/>
    <mergeCell ref="J181:J182"/>
    <mergeCell ref="K181:M182"/>
    <mergeCell ref="N181:N182"/>
    <mergeCell ref="O181:O182"/>
    <mergeCell ref="S181:T181"/>
    <mergeCell ref="S182:T182"/>
    <mergeCell ref="B183:E184"/>
    <mergeCell ref="F183:F184"/>
    <mergeCell ref="G183:G184"/>
    <mergeCell ref="H183:H184"/>
    <mergeCell ref="I183:I184"/>
    <mergeCell ref="J183:J184"/>
    <mergeCell ref="K183:M184"/>
    <mergeCell ref="N183:N184"/>
    <mergeCell ref="O183:O184"/>
    <mergeCell ref="S183:T183"/>
    <mergeCell ref="S184:T184"/>
    <mergeCell ref="B185:E186"/>
    <mergeCell ref="F185:F186"/>
    <mergeCell ref="G185:G186"/>
    <mergeCell ref="H185:H186"/>
    <mergeCell ref="I185:I186"/>
    <mergeCell ref="J185:J186"/>
    <mergeCell ref="K185:M186"/>
    <mergeCell ref="N185:N186"/>
    <mergeCell ref="O185:O186"/>
    <mergeCell ref="S185:T185"/>
    <mergeCell ref="S186:T186"/>
    <mergeCell ref="B187:E188"/>
    <mergeCell ref="F187:F188"/>
    <mergeCell ref="G187:G188"/>
    <mergeCell ref="H187:H188"/>
    <mergeCell ref="I187:I188"/>
    <mergeCell ref="J187:J188"/>
    <mergeCell ref="K187:M188"/>
    <mergeCell ref="N187:N188"/>
    <mergeCell ref="O187:O188"/>
    <mergeCell ref="S187:T187"/>
    <mergeCell ref="S188:T188"/>
    <mergeCell ref="B189:E190"/>
    <mergeCell ref="F189:F190"/>
    <mergeCell ref="G189:G190"/>
    <mergeCell ref="H189:H190"/>
    <mergeCell ref="O189:O190"/>
    <mergeCell ref="S189:T189"/>
    <mergeCell ref="S190:T190"/>
    <mergeCell ref="B191:E191"/>
    <mergeCell ref="K191:M191"/>
    <mergeCell ref="S191:T191"/>
    <mergeCell ref="I189:I190"/>
    <mergeCell ref="J189:J190"/>
    <mergeCell ref="K189:M190"/>
    <mergeCell ref="N189:N190"/>
    <mergeCell ref="B192:E193"/>
    <mergeCell ref="F192:F193"/>
    <mergeCell ref="G192:G193"/>
    <mergeCell ref="H192:H193"/>
    <mergeCell ref="I192:I193"/>
    <mergeCell ref="J192:J193"/>
    <mergeCell ref="K192:M193"/>
    <mergeCell ref="N192:N193"/>
    <mergeCell ref="O192:O193"/>
    <mergeCell ref="S192:T192"/>
    <mergeCell ref="S193:T193"/>
    <mergeCell ref="B194:E195"/>
    <mergeCell ref="F194:F195"/>
    <mergeCell ref="G194:G195"/>
    <mergeCell ref="H194:H195"/>
    <mergeCell ref="I194:I195"/>
    <mergeCell ref="J194:J195"/>
    <mergeCell ref="K194:M195"/>
    <mergeCell ref="N194:N195"/>
    <mergeCell ref="O194:O195"/>
    <mergeCell ref="S194:T194"/>
    <mergeCell ref="S195:T195"/>
    <mergeCell ref="B196:E197"/>
    <mergeCell ref="F196:F197"/>
    <mergeCell ref="G196:G197"/>
    <mergeCell ref="H196:H197"/>
    <mergeCell ref="I196:I197"/>
    <mergeCell ref="J196:J197"/>
    <mergeCell ref="K196:M197"/>
    <mergeCell ref="N196:N197"/>
    <mergeCell ref="O196:O197"/>
    <mergeCell ref="S196:T196"/>
    <mergeCell ref="S197:T197"/>
    <mergeCell ref="B198:E199"/>
    <mergeCell ref="F198:F199"/>
    <mergeCell ref="G198:G199"/>
    <mergeCell ref="H198:H199"/>
    <mergeCell ref="I198:I199"/>
    <mergeCell ref="J198:J199"/>
    <mergeCell ref="K198:M199"/>
    <mergeCell ref="N198:N199"/>
    <mergeCell ref="O198:O199"/>
    <mergeCell ref="S198:T198"/>
    <mergeCell ref="S199:T199"/>
    <mergeCell ref="B200:E201"/>
    <mergeCell ref="F200:F201"/>
    <mergeCell ref="G200:G201"/>
    <mergeCell ref="H200:H201"/>
    <mergeCell ref="I200:I201"/>
    <mergeCell ref="J200:J201"/>
    <mergeCell ref="K200:M201"/>
    <mergeCell ref="N200:N201"/>
    <mergeCell ref="O200:O201"/>
    <mergeCell ref="S200:T200"/>
    <mergeCell ref="S201:T201"/>
    <mergeCell ref="B202:E203"/>
    <mergeCell ref="F202:F203"/>
    <mergeCell ref="G202:G203"/>
    <mergeCell ref="H202:H203"/>
    <mergeCell ref="I202:I203"/>
    <mergeCell ref="H204:H205"/>
    <mergeCell ref="O204:O205"/>
    <mergeCell ref="S204:T204"/>
    <mergeCell ref="S205:T205"/>
    <mergeCell ref="J202:J203"/>
    <mergeCell ref="K202:M203"/>
    <mergeCell ref="N202:N203"/>
    <mergeCell ref="O202:O203"/>
    <mergeCell ref="S202:T202"/>
    <mergeCell ref="S203:T203"/>
    <mergeCell ref="B206:E206"/>
    <mergeCell ref="K206:M206"/>
    <mergeCell ref="S206:T206"/>
    <mergeCell ref="I204:I205"/>
    <mergeCell ref="J204:J205"/>
    <mergeCell ref="K204:M205"/>
    <mergeCell ref="N204:N205"/>
    <mergeCell ref="B204:E205"/>
    <mergeCell ref="F204:F205"/>
    <mergeCell ref="G204:G205"/>
    <mergeCell ref="B207:E208"/>
    <mergeCell ref="F207:F208"/>
    <mergeCell ref="G207:G208"/>
    <mergeCell ref="H207:H208"/>
    <mergeCell ref="I207:I208"/>
    <mergeCell ref="J207:J208"/>
    <mergeCell ref="K207:M208"/>
    <mergeCell ref="N207:N208"/>
    <mergeCell ref="O207:O208"/>
    <mergeCell ref="S207:T207"/>
    <mergeCell ref="S208:T208"/>
    <mergeCell ref="B209:E210"/>
    <mergeCell ref="F209:F210"/>
    <mergeCell ref="G209:G210"/>
    <mergeCell ref="H209:H210"/>
    <mergeCell ref="I209:I210"/>
    <mergeCell ref="J209:J210"/>
    <mergeCell ref="K209:M210"/>
    <mergeCell ref="N209:N210"/>
    <mergeCell ref="O209:O210"/>
    <mergeCell ref="S209:T209"/>
    <mergeCell ref="S210:T210"/>
    <mergeCell ref="B211:E212"/>
    <mergeCell ref="F211:F212"/>
    <mergeCell ref="G211:G212"/>
    <mergeCell ref="H211:H212"/>
    <mergeCell ref="I211:I212"/>
    <mergeCell ref="J211:J212"/>
    <mergeCell ref="K211:M212"/>
    <mergeCell ref="N211:N212"/>
    <mergeCell ref="O211:O212"/>
    <mergeCell ref="S211:T211"/>
    <mergeCell ref="S212:T212"/>
    <mergeCell ref="B213:E214"/>
    <mergeCell ref="F213:F214"/>
    <mergeCell ref="G213:G214"/>
    <mergeCell ref="H213:H214"/>
    <mergeCell ref="I213:I214"/>
    <mergeCell ref="J213:J214"/>
    <mergeCell ref="K213:M214"/>
    <mergeCell ref="N213:N214"/>
    <mergeCell ref="O213:O214"/>
    <mergeCell ref="S213:T213"/>
    <mergeCell ref="S214:T214"/>
    <mergeCell ref="B215:E216"/>
    <mergeCell ref="F215:F216"/>
    <mergeCell ref="G215:G216"/>
    <mergeCell ref="H215:H216"/>
    <mergeCell ref="I215:I216"/>
    <mergeCell ref="J215:J216"/>
    <mergeCell ref="K215:M216"/>
    <mergeCell ref="N215:N216"/>
    <mergeCell ref="O215:O216"/>
    <mergeCell ref="S215:T215"/>
    <mergeCell ref="S216:T216"/>
    <mergeCell ref="B217:E218"/>
    <mergeCell ref="F217:F218"/>
    <mergeCell ref="G217:G218"/>
    <mergeCell ref="H217:H218"/>
    <mergeCell ref="I217:I218"/>
    <mergeCell ref="H219:H220"/>
    <mergeCell ref="O219:O220"/>
    <mergeCell ref="S219:T219"/>
    <mergeCell ref="S220:T220"/>
    <mergeCell ref="J217:J218"/>
    <mergeCell ref="K217:M218"/>
    <mergeCell ref="N217:N218"/>
    <mergeCell ref="O217:O218"/>
    <mergeCell ref="S217:T217"/>
    <mergeCell ref="S218:T218"/>
    <mergeCell ref="B221:E221"/>
    <mergeCell ref="K221:M221"/>
    <mergeCell ref="S221:T221"/>
    <mergeCell ref="I219:I220"/>
    <mergeCell ref="J219:J220"/>
    <mergeCell ref="K219:M220"/>
    <mergeCell ref="N219:N220"/>
    <mergeCell ref="B219:E220"/>
    <mergeCell ref="F219:F220"/>
    <mergeCell ref="G219:G220"/>
    <mergeCell ref="B222:E223"/>
    <mergeCell ref="F222:F223"/>
    <mergeCell ref="G222:G223"/>
    <mergeCell ref="H222:H223"/>
    <mergeCell ref="I222:I223"/>
    <mergeCell ref="J222:J223"/>
    <mergeCell ref="K222:M223"/>
    <mergeCell ref="N222:N223"/>
    <mergeCell ref="O222:O223"/>
    <mergeCell ref="S222:T222"/>
    <mergeCell ref="S223:T223"/>
    <mergeCell ref="B224:E225"/>
    <mergeCell ref="F224:F225"/>
    <mergeCell ref="G224:G225"/>
    <mergeCell ref="H224:H225"/>
    <mergeCell ref="I224:I225"/>
    <mergeCell ref="J224:J225"/>
    <mergeCell ref="K224:M225"/>
    <mergeCell ref="N224:N225"/>
    <mergeCell ref="O224:O225"/>
    <mergeCell ref="S224:T224"/>
    <mergeCell ref="S225:T225"/>
    <mergeCell ref="B226:E227"/>
    <mergeCell ref="F226:F227"/>
    <mergeCell ref="G226:G227"/>
    <mergeCell ref="H226:H227"/>
    <mergeCell ref="I226:I227"/>
    <mergeCell ref="J226:J227"/>
    <mergeCell ref="K226:M227"/>
    <mergeCell ref="N226:N227"/>
    <mergeCell ref="O226:O227"/>
    <mergeCell ref="B228:E229"/>
    <mergeCell ref="F228:F229"/>
    <mergeCell ref="G228:G229"/>
    <mergeCell ref="H228:H229"/>
    <mergeCell ref="I228:I229"/>
    <mergeCell ref="J228:J229"/>
    <mergeCell ref="K228:M229"/>
    <mergeCell ref="N228:N229"/>
    <mergeCell ref="O228:O229"/>
    <mergeCell ref="B230:E231"/>
    <mergeCell ref="F230:F231"/>
    <mergeCell ref="G230:G231"/>
    <mergeCell ref="H230:H231"/>
    <mergeCell ref="I230:I231"/>
    <mergeCell ref="J230:J231"/>
    <mergeCell ref="K230:M231"/>
    <mergeCell ref="N230:N231"/>
    <mergeCell ref="O230:O231"/>
    <mergeCell ref="B232:E233"/>
    <mergeCell ref="F232:F233"/>
    <mergeCell ref="G232:G233"/>
    <mergeCell ref="H232:H233"/>
    <mergeCell ref="I232:I233"/>
    <mergeCell ref="J232:J233"/>
    <mergeCell ref="K232:M233"/>
    <mergeCell ref="N232:N233"/>
    <mergeCell ref="O232:O233"/>
    <mergeCell ref="B234:E235"/>
    <mergeCell ref="F234:F235"/>
    <mergeCell ref="G234:G235"/>
    <mergeCell ref="H234:H235"/>
    <mergeCell ref="O234:O235"/>
    <mergeCell ref="I234:I235"/>
    <mergeCell ref="J234:J235"/>
    <mergeCell ref="K234:M235"/>
    <mergeCell ref="N234:N235"/>
  </mergeCells>
  <dataValidations count="6">
    <dataValidation type="list" allowBlank="1" showInputMessage="1" showErrorMessage="1" sqref="E25:E26 E37:E38 E43:E44">
      <formula1>$AT$66:$AT$67</formula1>
    </dataValidation>
    <dataValidation type="list" allowBlank="1" showInputMessage="1" showErrorMessage="1" sqref="D6">
      <formula1>$AT$1:$AT$60</formula1>
    </dataValidation>
    <dataValidation type="list" allowBlank="1" showInputMessage="1" showErrorMessage="1" sqref="C11">
      <formula1>$AT$68:$AT$72</formula1>
    </dataValidation>
    <dataValidation type="list" allowBlank="1" showInputMessage="1" showErrorMessage="1" sqref="C6">
      <formula1>$AT$1:$AT$61</formula1>
    </dataValidation>
    <dataValidation type="list" allowBlank="1" showInputMessage="1" showErrorMessage="1" sqref="M17">
      <formula1>$AT$64:$AT$65</formula1>
    </dataValidation>
    <dataValidation type="list" allowBlank="1" showInputMessage="1" showErrorMessage="1" sqref="L176 J17">
      <formula1>$AT$73:$AT$74</formula1>
    </dataValidation>
  </dataValidations>
  <printOptions/>
  <pageMargins left="0.75" right="0.75" top="1" bottom="1" header="0.5" footer="0.5"/>
  <pageSetup fitToHeight="6" fitToWidth="6" horizontalDpi="600" verticalDpi="600" orientation="landscape" scale="48" r:id="rId4"/>
  <rowBreaks count="4" manualBreakCount="4">
    <brk id="49" max="21" man="1"/>
    <brk id="114" max="21" man="1"/>
    <brk id="168" max="21" man="1"/>
    <brk id="205" max="2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Allstate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 Oca</dc:creator>
  <cp:keywords/>
  <dc:description/>
  <cp:lastModifiedBy>satish</cp:lastModifiedBy>
  <cp:lastPrinted>2009-06-19T20:49:55Z</cp:lastPrinted>
  <dcterms:created xsi:type="dcterms:W3CDTF">2009-06-19T20:47:19Z</dcterms:created>
  <dcterms:modified xsi:type="dcterms:W3CDTF">2009-06-30T19:03:02Z</dcterms:modified>
  <cp:category/>
  <cp:version/>
  <cp:contentType/>
  <cp:contentStatus/>
</cp:coreProperties>
</file>